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Inputs" sheetId="3" state="visible" r:id="rId5"/>
    <sheet name="Positions" sheetId="4" state="visible" r:id="rId6"/>
    <sheet name="Curves" sheetId="5" state="visible" r:id="rId7"/>
    <sheet name="Calc_P" sheetId="6" state="visible" r:id="rId8"/>
    <sheet name="Calc_R" sheetId="7" state="visible" r:id="rId9"/>
    <sheet name="Calc_O" sheetId="8" state="visible" r:id="rId10"/>
    <sheet name="Rollout" sheetId="9" state="visible" r:id="rId11"/>
    <sheet name="Placeholder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<sst xmlns="http://schemas.openxmlformats.org/spreadsheetml/2006/main" count="1168" uniqueCount="463">
  <si>
    <t xml:space="preserve">ATMOSPHERE™ — FINANCIAL DATABASE · REV.05 · 10 SEPTEMBER 2026</t>
  </si>
  <si>
    <t xml:space="preserve">Skeleton position 9 · Financial Data · Position Right rebuild (supersedes Rev.04, 10 Sep 2026)</t>
  </si>
  <si>
    <t xml:space="preserve">Prepared by Value Masters Academy for A Level Alliances as recommendations to the Founders' Council. Advisory in nature.</t>
  </si>
  <si>
    <t xml:space="preserve">SCOPE</t>
  </si>
  <si>
    <t xml:space="preserve">One 100,000 sq ft box · 1,001 positions · nine revenue layers · three companies (PropCo / OpCo-TRS / MemberCo) · three scenarios · seven-year horizon · unlevered, pre-tax · 15% discount rate.</t>
  </si>
  <si>
    <t xml:space="preserve">WHAT CHANGED — REV.04 → REV.05</t>
  </si>
  <si>
    <t xml:space="preserve">1. Brand instrument: the fixed-term (5-year) commitment is replaced by the Position Right — a renewable, transferable usage right in one of 1,001 positions with a monthly usage fee (sheet 'Positions', block 'Position Right' in Inputs).</t>
  </si>
  <si>
    <t xml:space="preserve">2. Two tracks: operator holders use their position; investor holders place it in the placement pool (70% holder / 30% OpCo management fee). Unsold and retained positions are placed by OpCo under Hotel Discipline at the placement rate.</t>
  </si>
  <si>
    <t xml:space="preserve">3. Rev.04 lines 'Market Hall — tables', 'Vitrines + outdoor stalls', 'Enterprise Arcade' and 'Stage — slots/booths/pods' are absorbed into Position Right revenue (they were position occupancy revenue).</t>
  </si>
  <si>
    <t xml:space="preserve">4. New lines: placement pool management fee, retained/unsold placement, transfer fee on resale (5%), Dog Land (parking-field programme, placeholder).</t>
  </si>
  <si>
    <t xml:space="preserve">5. Two tills reported: Landing revenue (what brands and tenants pay to be at the gate) and Terminal revenue (what the traffic itself produces).</t>
  </si>
  <si>
    <t xml:space="preserve">6. Traffic engine rebuilt from Rev.04 parameters; member conversion calibrated so Year-5 members match Rev.04 (2,511 / 19,500 / 39,000). Barter Hall return visits use the prior-year member base (no circular reference), so Year-5 weekly visitors sit slightly below Rev.04.</t>
  </si>
  <si>
    <t xml:space="preserve">7. Opex is now itemised (Rev.04 published margins only). Lines are calibrated to Rev.04 company-level EBITDA and flagged where unsourced.</t>
  </si>
  <si>
    <t xml:space="preserve">COLOUR LEGEND</t>
  </si>
  <si>
    <t xml:space="preserve">Blue text = input (change here) · Black = formula · Green = link to another sheet · Orange fill = placeholder pending LOI or Council resolution · Yellow fill = key lever.</t>
  </si>
  <si>
    <t xml:space="preserve">DISCLAIMER</t>
  </si>
  <si>
    <t xml:space="preserve">The Financial Database is indicative and prepared for pre-sounding discussion only. It is not an offer of securities, a valuation, a forecast or investment, legal or tax advice. All figures are pre-tax, unlevered outputs of this workbook and change with its blue input cells; orange rows are placeholders pending LOIs or Council resolutions. Position Right income for investor holders depends on placement and is never promised. Trader Joe's, Kia, Tesla, Samsung, Google, Best Buy, Industrious, CBRE, Costco, Dogtopia and others are named solely as independent market reference; nothing implies affiliation or agreement.</t>
  </si>
  <si>
    <t xml:space="preserve">SUMMARY — Year 5, single box (all cells link to Calc sheets)</t>
  </si>
  <si>
    <t xml:space="preserve">Measure</t>
  </si>
  <si>
    <t xml:space="preserve">Pessimistic (backup anchor)</t>
  </si>
  <si>
    <t xml:space="preserve">Realistic (Trader Joe's)</t>
  </si>
  <si>
    <t xml:space="preserve">Optimistic</t>
  </si>
  <si>
    <t xml:space="preserve">Traffic engine → members (Year 5)</t>
  </si>
  <si>
    <t xml:space="preserve">Anchor trips per week</t>
  </si>
  <si>
    <t xml:space="preserve">Open-market shoppers per week</t>
  </si>
  <si>
    <t xml:space="preserve">Stage attendance per week</t>
  </si>
  <si>
    <t xml:space="preserve">Barter Hall return visits per week</t>
  </si>
  <si>
    <t xml:space="preserve">Total weekly visitors</t>
  </si>
  <si>
    <t xml:space="preserve">Annual visits</t>
  </si>
  <si>
    <t xml:space="preserve">New Master conversions</t>
  </si>
  <si>
    <t xml:space="preserve">Master members</t>
  </si>
  <si>
    <t xml:space="preserve">RevPAM (revenue per member)</t>
  </si>
  <si>
    <t xml:space="preserve">Year 1</t>
  </si>
  <si>
    <t xml:space="preserve">Weekly visitors, Year 1</t>
  </si>
  <si>
    <t xml:space="preserve">Master members, Year 1 (incl. presale)</t>
  </si>
  <si>
    <t xml:space="preserve">Position Right (Year 5)</t>
  </si>
  <si>
    <t xml:space="preserve">Positions held by operator holders</t>
  </si>
  <si>
    <t xml:space="preserve">Positions held by investor holders</t>
  </si>
  <si>
    <t xml:space="preserve">Retained and unsold positions</t>
  </si>
  <si>
    <t xml:space="preserve">Positions placed</t>
  </si>
  <si>
    <t xml:space="preserve">Floor occupancy</t>
  </si>
  <si>
    <t xml:space="preserve">Average usage fee ($/mo)</t>
  </si>
  <si>
    <t xml:space="preserve">Investor holder net income per position ($/yr)</t>
  </si>
  <si>
    <t xml:space="preserve">Indicative resale value per Position Right</t>
  </si>
  <si>
    <t xml:space="preserve">OpCo-TRS revenue by line (Year 5)</t>
  </si>
  <si>
    <t xml:space="preserve">Position Right usage fees — operator holders</t>
  </si>
  <si>
    <t xml:space="preserve">Position Right usage fees — investor holders</t>
  </si>
  <si>
    <t xml:space="preserve">Placement pool management fee (30% of pool rent)</t>
  </si>
  <si>
    <t xml:space="preserve">Retained and unsold positions — Hotel Discipline placement</t>
  </si>
  <si>
    <t xml:space="preserve">Initiation fees (one-time, on new holders)</t>
  </si>
  <si>
    <t xml:space="preserve">Transfer fees on resale</t>
  </si>
  <si>
    <t xml:space="preserve">09 Phygital Operations — brand service fees</t>
  </si>
  <si>
    <t xml:space="preserve">04 Fulfillment + lockers</t>
  </si>
  <si>
    <t xml:space="preserve">05 Back of House services</t>
  </si>
  <si>
    <t xml:space="preserve">Category partnerships</t>
  </si>
  <si>
    <t xml:space="preserve">OpCo Landing revenue</t>
  </si>
  <si>
    <t xml:space="preserve">03 Stage — live GMV commission</t>
  </si>
  <si>
    <t xml:space="preserve">04 ReCommerce — floor commission</t>
  </si>
  <si>
    <t xml:space="preserve">04 Consignment margin (Barter Hall)</t>
  </si>
  <si>
    <t xml:space="preserve">04 Barter Points breakage</t>
  </si>
  <si>
    <t xml:space="preserve">04 Box-free return fees</t>
  </si>
  <si>
    <t xml:space="preserve">06 Media &amp; DOOH — ad sales</t>
  </si>
  <si>
    <t xml:space="preserve">Dog Land — café/bar partner revenue share (placeholder)</t>
  </si>
  <si>
    <t xml:space="preserve">Dog Land — day passes (placeholder)</t>
  </si>
  <si>
    <t xml:space="preserve">OpCo Terminal revenue</t>
  </si>
  <si>
    <t xml:space="preserve">OpCo-TRS gross revenue</t>
  </si>
  <si>
    <t xml:space="preserve">MemberCo (Year 5)</t>
  </si>
  <si>
    <t xml:space="preserve">07 Master membership</t>
  </si>
  <si>
    <t xml:space="preserve">07 Emeritus (50% of Master fee)</t>
  </si>
  <si>
    <t xml:space="preserve">07 Stage Access creators</t>
  </si>
  <si>
    <t xml:space="preserve">07 Corporate seats</t>
  </si>
  <si>
    <t xml:space="preserve">08 Digital Landlord — PaaS</t>
  </si>
  <si>
    <t xml:space="preserve">Sponsor Rung 1 cash (conditional, from month 13)</t>
  </si>
  <si>
    <t xml:space="preserve">Dog Land — member add-on (placeholder)</t>
  </si>
  <si>
    <t xml:space="preserve">MemberCo gross revenue</t>
  </si>
  <si>
    <t xml:space="preserve">PropCo (Year 5)</t>
  </si>
  <si>
    <t xml:space="preserve">Grocery anchor rent</t>
  </si>
  <si>
    <t xml:space="preserve">Shop-in-shop corner rent</t>
  </si>
  <si>
    <t xml:space="preserve">Street-food operator rent</t>
  </si>
  <si>
    <t xml:space="preserve">Charging host share</t>
  </si>
  <si>
    <t xml:space="preserve">Dog Land — daycare/hotel tenant rent (placeholder)</t>
  </si>
  <si>
    <t xml:space="preserve">PropCo tenant revenue</t>
  </si>
  <si>
    <t xml:space="preserve">Three companies, consolidated (Year 5)</t>
  </si>
  <si>
    <t xml:space="preserve">Consolidated gross revenue</t>
  </si>
  <si>
    <t xml:space="preserve">  Landing till</t>
  </si>
  <si>
    <t xml:space="preserve">  Terminal till</t>
  </si>
  <si>
    <t xml:space="preserve">  Terminal till share</t>
  </si>
  <si>
    <t xml:space="preserve">OpCo NOI before PropCo share</t>
  </si>
  <si>
    <t xml:space="preserve">PropCo share of OpCo NOI</t>
  </si>
  <si>
    <t xml:space="preserve">OpCo-TRS EBITDA</t>
  </si>
  <si>
    <t xml:space="preserve">MemberCo EBITDA (after SBLC)</t>
  </si>
  <si>
    <t xml:space="preserve">PropCo EBITDA</t>
  </si>
  <si>
    <t xml:space="preserve">Consolidated EBITDA</t>
  </si>
  <si>
    <t xml:space="preserve">EBITDA margin</t>
  </si>
  <si>
    <t xml:space="preserve">Barter Points liability, closing</t>
  </si>
  <si>
    <t xml:space="preserve">Capex, ROI, IRR, NPV (7 years)</t>
  </si>
  <si>
    <t xml:space="preserve">OpCo capex gross</t>
  </si>
  <si>
    <t xml:space="preserve">Sponsor Rung 0 kit offset</t>
  </si>
  <si>
    <t xml:space="preserve">Dog Land capex (placeholder)</t>
  </si>
  <si>
    <t xml:space="preserve">PropCo box purchase</t>
  </si>
  <si>
    <t xml:space="preserve">Total capex (net of kit)</t>
  </si>
  <si>
    <t xml:space="preserve">IRR — 7 years, no exit</t>
  </si>
  <si>
    <t xml:space="preserve">IRR — with Year-7 operator exit</t>
  </si>
  <si>
    <t xml:space="preserve">NPV @ 15% — no exit</t>
  </si>
  <si>
    <t xml:space="preserve">NPV @ 15% — with exit</t>
  </si>
  <si>
    <t xml:space="preserve">ROI 7-year — no exit</t>
  </si>
  <si>
    <t xml:space="preserve">MOIC − 1 — with exit</t>
  </si>
  <si>
    <t xml:space="preserve">Payback year</t>
  </si>
  <si>
    <t xml:space="preserve">YEAR BY YEAR — consolidated revenue and EBITDA</t>
  </si>
  <si>
    <t xml:space="preserve">Line</t>
  </si>
  <si>
    <t xml:space="preserve">Y1</t>
  </si>
  <si>
    <t xml:space="preserve">Y2</t>
  </si>
  <si>
    <t xml:space="preserve">Y3</t>
  </si>
  <si>
    <t xml:space="preserve">Y4</t>
  </si>
  <si>
    <t xml:space="preserve">Y5</t>
  </si>
  <si>
    <t xml:space="preserve">Y6</t>
  </si>
  <si>
    <t xml:space="preserve">Y7</t>
  </si>
  <si>
    <t xml:space="preserve">Pessimistic — weekly visitors</t>
  </si>
  <si>
    <t xml:space="preserve">Pessimistic — Master members</t>
  </si>
  <si>
    <t xml:space="preserve">Pessimistic — consolidated revenue</t>
  </si>
  <si>
    <t xml:space="preserve">Pessimistic — consolidated EBITDA</t>
  </si>
  <si>
    <t xml:space="preserve">Pessimistic — cumulative cash (no exit)</t>
  </si>
  <si>
    <t xml:space="preserve">Realistic — weekly visitors</t>
  </si>
  <si>
    <t xml:space="preserve">Realistic — Master members</t>
  </si>
  <si>
    <t xml:space="preserve">Realistic — consolidated revenue</t>
  </si>
  <si>
    <t xml:space="preserve">Realistic — consolidated EBITDA</t>
  </si>
  <si>
    <t xml:space="preserve">Realistic — cumulative cash (no exit)</t>
  </si>
  <si>
    <t xml:space="preserve">Optimistic — weekly visitors</t>
  </si>
  <si>
    <t xml:space="preserve">Optimistic — Master members</t>
  </si>
  <si>
    <t xml:space="preserve">Optimistic — consolidated revenue</t>
  </si>
  <si>
    <t xml:space="preserve">Optimistic — consolidated EBITDA</t>
  </si>
  <si>
    <t xml:space="preserve">Optimistic — cumulative cash (no exit)</t>
  </si>
  <si>
    <t xml:space="preserve">INPUTS — three scenarios (blue = change here; orange = placeholder)</t>
  </si>
  <si>
    <t xml:space="preserve">Parameter</t>
  </si>
  <si>
    <t xml:space="preserve">Unit</t>
  </si>
  <si>
    <t xml:space="preserve">Pessimistic</t>
  </si>
  <si>
    <t xml:space="preserve">Realistic</t>
  </si>
  <si>
    <t xml:space="preserve">Source / flag</t>
  </si>
  <si>
    <t xml:space="preserve">Box and capacity</t>
  </si>
  <si>
    <t xml:space="preserve">Box gross area</t>
  </si>
  <si>
    <t xml:space="preserve">sq ft</t>
  </si>
  <si>
    <t xml:space="preserve">ALA Space &amp; Capacity Model</t>
  </si>
  <si>
    <t xml:space="preserve">Positions (ceiling on traders)</t>
  </si>
  <si>
    <t xml:space="preserve">count</t>
  </si>
  <si>
    <t xml:space="preserve">ALA Space &amp; Capacity Model — see sheet 'Positions'</t>
  </si>
  <si>
    <t xml:space="preserve">Discount rate</t>
  </si>
  <si>
    <t xml:space="preserve">%</t>
  </si>
  <si>
    <t xml:space="preserve">Rev.04 Financial Database (10 Sep 2026), financial-database.atmospheremarketplace.com</t>
  </si>
  <si>
    <t xml:space="preserve">Operator exit multiple, Year 7 (EV / EBITDA)</t>
  </si>
  <si>
    <t xml:space="preserve">x</t>
  </si>
  <si>
    <t xml:space="preserve">Implied by Rev.04 (Y5 EV $1.90B on $271.9M EBITDA; 16 boxes for $1B EV)</t>
  </si>
  <si>
    <t xml:space="preserve">Traffic engine (Year-5 anchors; ramp curves on sheet 'Curves')</t>
  </si>
  <si>
    <t xml:space="preserve">Grocery-anchor trips captured per week, Year 5</t>
  </si>
  <si>
    <t xml:space="preserve">visits/wk</t>
  </si>
  <si>
    <t xml:space="preserve">Rev.04 Financial Database (10 Sep 2026), financial-database.atmospheremarketplace.com — pessimistic = backup anchor</t>
  </si>
  <si>
    <t xml:space="preserve">Open-market shoppers per week, Year 5</t>
  </si>
  <si>
    <t xml:space="preserve">Stage attendance per week, Year 5</t>
  </si>
  <si>
    <t xml:space="preserve">Barter Hall return visits per member per week</t>
  </si>
  <si>
    <t xml:space="preserve">visits</t>
  </si>
  <si>
    <t xml:space="preserve">Derived from Rev.04 Y5 (return visits ÷ members)</t>
  </si>
  <si>
    <t xml:space="preserve">Pre-sold Master members on opening day</t>
  </si>
  <si>
    <t xml:space="preserve">members</t>
  </si>
  <si>
    <t xml:space="preserve">Rev.04 Financial Database (10 Sep 2026), financial-database.atmospheremarketplace.com (Y1 base incl. presale)</t>
  </si>
  <si>
    <t xml:space="preserve">Visitor registration rate</t>
  </si>
  <si>
    <t xml:space="preserve">Assumption — calibrated with conversion so Y5 members match Rev.04</t>
  </si>
  <si>
    <t xml:space="preserve">Registered-to-Master conversion (per visit)</t>
  </si>
  <si>
    <t xml:space="preserve">Calibrated so Year-5 Master members = 2,511 / 19,500 / 39,000 (Rev.04)</t>
  </si>
  <si>
    <t xml:space="preserve">Annual member churn</t>
  </si>
  <si>
    <t xml:space="preserve">Assumption</t>
  </si>
  <si>
    <t xml:space="preserve">Trade-area member cap</t>
  </si>
  <si>
    <t xml:space="preserve">Rev.04 Financial Database (10 Sep 2026), financial-database.atmospheremarketplace.com — optimistic cap of 39,000 hit in Y4</t>
  </si>
  <si>
    <t xml:space="preserve">Position Right (brand instrument) — see sheet 'Positions' for class fees</t>
  </si>
  <si>
    <t xml:space="preserve">Usage-fee multiplier vs base class fees</t>
  </si>
  <si>
    <t xml:space="preserve">Pricing power by scenario</t>
  </si>
  <si>
    <t xml:space="preserve">Positions sold to operator holders</t>
  </si>
  <si>
    <t xml:space="preserve">% of positions</t>
  </si>
  <si>
    <t xml:space="preserve">Council answer 10 Sep 2026 (realistic 50/30/20)</t>
  </si>
  <si>
    <t xml:space="preserve">Positions sold to investor holders</t>
  </si>
  <si>
    <t xml:space="preserve">Council answer 10 Sep 2026</t>
  </si>
  <si>
    <t xml:space="preserve">Placement rate vs usage fee (Hotel Discipline, short-term)</t>
  </si>
  <si>
    <t xml:space="preserve">Specialty-leasing premium over long-term dues — placeholder pending comps</t>
  </si>
  <si>
    <t xml:space="preserve">Placement pool: share to investor holder</t>
  </si>
  <si>
    <t xml:space="preserve">Council answer 10 Sep 2026 (70 holder / 30 OpCo)</t>
  </si>
  <si>
    <t xml:space="preserve">Transfer fee on resale of a Position Right</t>
  </si>
  <si>
    <t xml:space="preserve">% of price</t>
  </si>
  <si>
    <t xml:space="preserve">Annual resale turnover of sold positions</t>
  </si>
  <si>
    <t xml:space="preserve">Assumption — placeholder</t>
  </si>
  <si>
    <t xml:space="preserve">Capitalisation rate for resale value of the holder spread</t>
  </si>
  <si>
    <t xml:space="preserve">One-time initiation fee per Position Right</t>
  </si>
  <si>
    <t xml:space="preserve">$</t>
  </si>
  <si>
    <t xml:space="preserve">Council: monthly fee only (set &gt;0 to model an entry fee)</t>
  </si>
  <si>
    <t xml:space="preserve">Phygital Operations service fee per placed position</t>
  </si>
  <si>
    <t xml:space="preserve">$/yr</t>
  </si>
  <si>
    <t xml:space="preserve">Derived from Rev.04 Y5 ($120K / $400K / $640K ÷ placed positions)</t>
  </si>
  <si>
    <t xml:space="preserve">Per-visit and per-member drivers (derived from Rev.04 Year-5 values ÷ annual visits or members)</t>
  </si>
  <si>
    <t xml:space="preserve">Stage — live GMV commission</t>
  </si>
  <si>
    <t xml:space="preserve">$/visit</t>
  </si>
  <si>
    <t xml:space="preserve">ReCommerce — floor commission</t>
  </si>
  <si>
    <t xml:space="preserve">Consignment margin (Barter)</t>
  </si>
  <si>
    <t xml:space="preserve">$/member</t>
  </si>
  <si>
    <t xml:space="preserve">Barter Points issued per member</t>
  </si>
  <si>
    <t xml:space="preserve">$/member/yr</t>
  </si>
  <si>
    <t xml:space="preserve">Set so breakage matches Rev.04 Y5 ($3K / $150K / $1.1M); liability memo</t>
  </si>
  <si>
    <t xml:space="preserve">Barter Points redeemed (share of opening + issued)</t>
  </si>
  <si>
    <t xml:space="preserve">Barter Points breakage (share of opening + issued)</t>
  </si>
  <si>
    <t xml:space="preserve">Box-free return fees</t>
  </si>
  <si>
    <t xml:space="preserve">Fulfillment + lockers</t>
  </si>
  <si>
    <t xml:space="preserve">Back of House services</t>
  </si>
  <si>
    <t xml:space="preserve">Media &amp; DOOH ad sales</t>
  </si>
  <si>
    <t xml:space="preserve">Category partnerships (pouring rights, payments, telecom)</t>
  </si>
  <si>
    <t xml:space="preserve">Rev.04 Financial Database (10 Sep 2026), financial-database.atmospheremarketplace.com — pouring rights offers pending</t>
  </si>
  <si>
    <t xml:space="preserve">Master membership fee</t>
  </si>
  <si>
    <t xml:space="preserve">Implied by Rev.04 Y5 (membership revenue ÷ members)</t>
  </si>
  <si>
    <t xml:space="preserve">Emeritus members as share of Master</t>
  </si>
  <si>
    <t xml:space="preserve">Implied by Rev.04 Y5 (Emeritus = 50% of Master fee)</t>
  </si>
  <si>
    <t xml:space="preserve">Stage Access creators</t>
  </si>
  <si>
    <t xml:space="preserve">Implied by Rev.04 Y5 at $600/yr</t>
  </si>
  <si>
    <t xml:space="preserve">Stage Access fee</t>
  </si>
  <si>
    <t xml:space="preserve">Position 08</t>
  </si>
  <si>
    <t xml:space="preserve">Corporate seats</t>
  </si>
  <si>
    <t xml:space="preserve">Implied by Rev.04 Y5 at $5,000/yr</t>
  </si>
  <si>
    <t xml:space="preserve">Corporate seat fee</t>
  </si>
  <si>
    <t xml:space="preserve">Digital Landlord — PaaS per member</t>
  </si>
  <si>
    <t xml:space="preserve">Implied by Rev.04 Y5 ($234K ÷ 19,500; $936K ÷ 39,000); pessimistic off</t>
  </si>
  <si>
    <t xml:space="preserve">Sponsor Rung 1 cash fee (from month 13, gated)</t>
  </si>
  <si>
    <t xml:space="preserve">Rev.04 Financial Database (10 Sep 2026), financial-database.atmospheremarketplace.com — Sponsor &amp; Ally Option 4 ladder</t>
  </si>
  <si>
    <t xml:space="preserve">Sponsor Rung 2 purchased participation per new site</t>
  </si>
  <si>
    <t xml:space="preserve">$/site</t>
  </si>
  <si>
    <t xml:space="preserve">Dog Land — parking-field programme (placeholder until site survey and operator LOI)</t>
  </si>
  <si>
    <t xml:space="preserve">Dog Land switch (1 = on)</t>
  </si>
  <si>
    <t xml:space="preserve">1/0</t>
  </si>
  <si>
    <t xml:space="preserve">Council resolution 14, GTM Rev.05</t>
  </si>
  <si>
    <t xml:space="preserve">Members taking the Dog Land add-on</t>
  </si>
  <si>
    <t xml:space="preserve">% of members</t>
  </si>
  <si>
    <t xml:space="preserve">Assumption; 53% of U.S. households own a dog (APPA 2026 Dog Report)</t>
  </si>
  <si>
    <t xml:space="preserve">Dog Land add-on</t>
  </si>
  <si>
    <t xml:space="preserve">Reference: MUTTS Canine Cantina $25/mo (El Paso Inc, 2024)</t>
  </si>
  <si>
    <t xml:space="preserve">Day passes</t>
  </si>
  <si>
    <t xml:space="preserve">% of visits × $</t>
  </si>
  <si>
    <t xml:space="preserve">Assumption; $10 day pass reference</t>
  </si>
  <si>
    <t xml:space="preserve">Day pass price</t>
  </si>
  <si>
    <t xml:space="preserve">MUTTS Canine Cantina reference</t>
  </si>
  <si>
    <t xml:space="preserve">Dog café / bar partner revenue share to OpCo</t>
  </si>
  <si>
    <t xml:space="preserve">Partner-operated (REEF wound) — placeholder</t>
  </si>
  <si>
    <t xml:space="preserve">Dog daycare / hotel tenant rent to PropCo</t>
  </si>
  <si>
    <t xml:space="preserve">Franchise tenant (Dogtopia-class AUV ≈ $928K FY2024) — placeholder</t>
  </si>
  <si>
    <t xml:space="preserve">Dog Land capex (fence, turf, shade, water, wash)</t>
  </si>
  <si>
    <t xml:space="preserve">Dog Land operating cost (attendant, upkeep)</t>
  </si>
  <si>
    <t xml:space="preserve">PropCo tenants</t>
  </si>
  <si>
    <t xml:space="preserve">Grocery anchor area</t>
  </si>
  <si>
    <t xml:space="preserve">Grocery anchor rent (NNN)</t>
  </si>
  <si>
    <t xml:space="preserve">$/sq ft/yr</t>
  </si>
  <si>
    <t xml:space="preserve">Rev.04 Financial Database (10 Sep 2026), financial-database.atmospheremarketplace.com — broker comps pending</t>
  </si>
  <si>
    <t xml:space="preserve">Shop-in-shop corner rent (8 corners)</t>
  </si>
  <si>
    <t xml:space="preserve">Rev.04 Financial Database (10 Sep 2026), financial-database.atmospheremarketplace.com — Best Buy model reference; fees pending</t>
  </si>
  <si>
    <t xml:space="preserve">Street-food operator rent (6 operators)</t>
  </si>
  <si>
    <t xml:space="preserve">Rev.04 Financial Database (10 Sep 2026), financial-database.atmospheremarketplace.com — Supercharger for Business reference</t>
  </si>
  <si>
    <t xml:space="preserve">PropCo share of OpCo NOI (no floor)</t>
  </si>
  <si>
    <t xml:space="preserve">Rev.04 Financial Database (10 Sep 2026), financial-database.atmospheremarketplace.com (20–30%, implied 24% realistic / 20% optimistic)</t>
  </si>
  <si>
    <t xml:space="preserve">Activation month per layer (Year-1 factor = active months ÷ 12)</t>
  </si>
  <si>
    <t xml:space="preserve">Screens / media</t>
  </si>
  <si>
    <t xml:space="preserve">month</t>
  </si>
  <si>
    <t xml:space="preserve">Stage, Live Commerce, Phygital Operations</t>
  </si>
  <si>
    <t xml:space="preserve">Enterprise Arcade, box-free returns</t>
  </si>
  <si>
    <t xml:space="preserve">Digital Landlord (PaaS)</t>
  </si>
  <si>
    <t xml:space="preserve">Dog Land</t>
  </si>
  <si>
    <t xml:space="preserve">Opens with the parking field (GTM Rev.05 wave 1)</t>
  </si>
  <si>
    <t xml:space="preserve">Operating costs (itemised; calibrated to Rev.04 company EBITDA — Rev.04 published margins only)</t>
  </si>
  <si>
    <t xml:space="preserve">OpCo floor staff and management (Hotel Discipline)</t>
  </si>
  <si>
    <t xml:space="preserve">Assumption — placeholder; calibrated to Rev.04 company EBITDA</t>
  </si>
  <si>
    <t xml:space="preserve">Utilities and CAM</t>
  </si>
  <si>
    <t xml:space="preserve">OpCo insurance</t>
  </si>
  <si>
    <t xml:space="preserve">Technology platform (HuxNet, OffNdOn, PingPod, Fifth Signal ops)</t>
  </si>
  <si>
    <t xml:space="preserve">Repairs and maintenance</t>
  </si>
  <si>
    <t xml:space="preserve">OpCo G&amp;A</t>
  </si>
  <si>
    <t xml:space="preserve">Cleaning and security</t>
  </si>
  <si>
    <t xml:space="preserve">Cost of fulfillment + lockers</t>
  </si>
  <si>
    <t xml:space="preserve">% of line</t>
  </si>
  <si>
    <t xml:space="preserve">Cost of Back of House</t>
  </si>
  <si>
    <t xml:space="preserve">Media sales cost (agency, content)</t>
  </si>
  <si>
    <t xml:space="preserve">Cost of Phygital Operations service</t>
  </si>
  <si>
    <t xml:space="preserve">Marketing</t>
  </si>
  <si>
    <t xml:space="preserve">% of OpCo revenue</t>
  </si>
  <si>
    <t xml:space="preserve">Assumption; sponsor activation budget is a contra-marketing item</t>
  </si>
  <si>
    <t xml:space="preserve">Sponsor annual activation budget (contra-marketing)</t>
  </si>
  <si>
    <t xml:space="preserve">Rev.04 Financial Database (10 Sep 2026), financial-database.atmospheremarketplace.com (Rung 0)</t>
  </si>
  <si>
    <t xml:space="preserve">Payment processing</t>
  </si>
  <si>
    <t xml:space="preserve">MemberCo member servicing</t>
  </si>
  <si>
    <t xml:space="preserve">MemberCo fixed (Barter Hall desk, community programming)</t>
  </si>
  <si>
    <t xml:space="preserve">SBLC cost</t>
  </si>
  <si>
    <t xml:space="preserve">Membership payment processing</t>
  </si>
  <si>
    <t xml:space="preserve">% of MemberCo revenue</t>
  </si>
  <si>
    <t xml:space="preserve">Property tax on box</t>
  </si>
  <si>
    <t xml:space="preserve">% of box value</t>
  </si>
  <si>
    <t xml:space="preserve">PropCo insurance and reserve</t>
  </si>
  <si>
    <t xml:space="preserve">Property management</t>
  </si>
  <si>
    <t xml:space="preserve">% of PropCo tenant revenue</t>
  </si>
  <si>
    <t xml:space="preserve">Capital expenditure</t>
  </si>
  <si>
    <t xml:space="preserve">OpCo capex gross (fit-out, Phygital Elements, screens, charging)</t>
  </si>
  <si>
    <t xml:space="preserve">Sponsor Rung 0 in-kind kit (capex offset)</t>
  </si>
  <si>
    <t xml:space="preserve">Rev.04 Financial Database (10 Sep 2026), financial-database.atmospheremarketplace.com — sponsor kit terms pending</t>
  </si>
  <si>
    <t xml:space="preserve">PropCo box purchase at write-off price</t>
  </si>
  <si>
    <t xml:space="preserve">Rev.04 Financial Database (10 Sep 2026), financial-database.atmospheremarketplace.com — box comps pending</t>
  </si>
  <si>
    <t xml:space="preserve">Maintenance capex from Year 2</t>
  </si>
  <si>
    <t xml:space="preserve">Nationwide rollout (locations opened per year)</t>
  </si>
  <si>
    <t xml:space="preserve">Locations opened in Year 1</t>
  </si>
  <si>
    <t xml:space="preserve">boxes</t>
  </si>
  <si>
    <t xml:space="preserve">Rev.04 Financial Database (10 Sep 2026), financial-database.atmospheremarketplace.com (1·1·3·5·10 / 1·2·7·15·25 / 1·3·11·25·60; Y6–Y7 held at Y5 pace)</t>
  </si>
  <si>
    <t xml:space="preserve">Locations opened in Year 2</t>
  </si>
  <si>
    <t xml:space="preserve">Locations opened in Year 3</t>
  </si>
  <si>
    <t xml:space="preserve">Locations opened in Year 4</t>
  </si>
  <si>
    <t xml:space="preserve">Locations opened in Year 5</t>
  </si>
  <si>
    <t xml:space="preserve">Locations opened in Year 6</t>
  </si>
  <si>
    <t xml:space="preserve">Locations opened in Year 7</t>
  </si>
  <si>
    <t xml:space="preserve">POSITIONS — 1,001 positions by class, base monthly usage fee (blue = input; orange = placeholder pending Space &amp; Capacity Model reconciliation and leasing comps)</t>
  </si>
  <si>
    <t xml:space="preserve">Position class</t>
  </si>
  <si>
    <t xml:space="preserve">Door / layer</t>
  </si>
  <si>
    <t xml:space="preserve">Positions</t>
  </si>
  <si>
    <t xml:space="preserve">Sq ft each</t>
  </si>
  <si>
    <t xml:space="preserve">Base usage fee $/mo</t>
  </si>
  <si>
    <t xml:space="preserve">Fee-bearing? (1/0)</t>
  </si>
  <si>
    <t xml:space="preserve">Monthly fees at 100% ($)</t>
  </si>
  <si>
    <t xml:space="preserve">Open Market vitrines</t>
  </si>
  <si>
    <t xml:space="preserve">01 Open Market</t>
  </si>
  <si>
    <t xml:space="preserve">Outdoor stalls (street-to-store)</t>
  </si>
  <si>
    <t xml:space="preserve">Enterprise Arcade seats</t>
  </si>
  <si>
    <t xml:space="preserve">02 Enterprise Arcade</t>
  </si>
  <si>
    <t xml:space="preserve">Stage / Live Commerce pods</t>
  </si>
  <si>
    <t xml:space="preserve">03 Stage · Live Commerce</t>
  </si>
  <si>
    <t xml:space="preserve">Barter Hall / ReCommerce bays</t>
  </si>
  <si>
    <t xml:space="preserve">04 ReCommerce</t>
  </si>
  <si>
    <t xml:space="preserve">Creator studios</t>
  </si>
  <si>
    <t xml:space="preserve">03 Live Commerce</t>
  </si>
  <si>
    <t xml:space="preserve">Corporate showcase suites</t>
  </si>
  <si>
    <t xml:space="preserve">Shop-in-shop corners (rent in PropCo)</t>
  </si>
  <si>
    <t xml:space="preserve">Market Hall operator stations (rent in PropCo)</t>
  </si>
  <si>
    <t xml:space="preserve">05 Market Hall</t>
  </si>
  <si>
    <t xml:space="preserve">Total</t>
  </si>
  <si>
    <t xml:space="preserve">Fee-bearing positions</t>
  </si>
  <si>
    <t xml:space="preserve">Average base usage fee per fee-bearing position ($/mo)</t>
  </si>
  <si>
    <t xml:space="preserve">Check: positions = Inputs ceiling</t>
  </si>
  <si>
    <t xml:space="preserve">Fees are base class fees; scenario pricing power applies through Inputs 'Usage-fee multiplier'.</t>
  </si>
  <si>
    <t xml:space="preserve">Envelope check: Rev.04 realistic Year-5 position occupancy revenue (Market Hall tables $6.1M + vitrines and stalls $1.3M + Enterprise Arcade $470K + Stage slots/booths/pods $514K) = $8.4M. Rev.05 realistic Year-5 Position Right revenue is designed to land near that envelope, so the change is the instrument, not the volume.</t>
  </si>
  <si>
    <t xml:space="preserve">Reference points: national coworking median for Arcade seats (Rev.04 rebaseline); long-term RV parking in Orange County ≈ $1,200–1,800 per month (founder field check, to be sourced, larger footprint than a vitrine); mall specialty-leasing comps pending.</t>
  </si>
  <si>
    <t xml:space="preserve">Reconcile counts against the Space &amp; Capacity Model before Council adoption.</t>
  </si>
  <si>
    <t xml:space="preserve">CURVES — by scenario and year (blue = input)</t>
  </si>
  <si>
    <t xml:space="preserve">Curve</t>
  </si>
  <si>
    <t xml:space="preserve">Traffic ramp (share of Year-5 non-Barter traffic)</t>
  </si>
  <si>
    <t xml:space="preserve">  Pessimistic</t>
  </si>
  <si>
    <t xml:space="preserve">  Realistic</t>
  </si>
  <si>
    <t xml:space="preserve">  Optimistic</t>
  </si>
  <si>
    <t xml:space="preserve">Position Right sell-through (share of sold-track positions placed with holders)</t>
  </si>
  <si>
    <t xml:space="preserve">Placement pool occupancy (investor positions)</t>
  </si>
  <si>
    <t xml:space="preserve">Retained and unsold positions occupancy (Hotel Discipline)</t>
  </si>
  <si>
    <t xml:space="preserve">Ramp curves are set so Year-1 weekly visitors match Rev.04 (3,007 / 11,892 / 26,116). Sell-through and occupancy curves are placeholders pending LOIs.</t>
  </si>
  <si>
    <t xml:space="preserve">CALC — Pessimistic scenario · single 100,000 sq ft box · $ unless noted</t>
  </si>
  <si>
    <t xml:space="preserve">Till</t>
  </si>
  <si>
    <t xml:space="preserve">Y0</t>
  </si>
  <si>
    <t xml:space="preserve">Traffic engine</t>
  </si>
  <si>
    <t xml:space="preserve">Year index</t>
  </si>
  <si>
    <t xml:space="preserve">Traffic ramp</t>
  </si>
  <si>
    <t xml:space="preserve">Grocery-anchor trips per week</t>
  </si>
  <si>
    <t xml:space="preserve">Member base entering the year</t>
  </si>
  <si>
    <t xml:space="preserve">Weekly visitors</t>
  </si>
  <si>
    <t xml:space="preserve">Master members (year end)</t>
  </si>
  <si>
    <t xml:space="preserve">Emeritus members</t>
  </si>
  <si>
    <t xml:space="preserve">Barter Points — liability memo (deferred store credit; never revenue)</t>
  </si>
  <si>
    <t xml:space="preserve">Liability, opening</t>
  </si>
  <si>
    <t xml:space="preserve">Barter Points issued</t>
  </si>
  <si>
    <t xml:space="preserve">Opening + issued</t>
  </si>
  <si>
    <t xml:space="preserve">Redeemed</t>
  </si>
  <si>
    <t xml:space="preserve">Breakage (released to OpCo revenue, layer 04)</t>
  </si>
  <si>
    <t xml:space="preserve">Liability, closing</t>
  </si>
  <si>
    <t xml:space="preserve">Position Right — capacity and placement</t>
  </si>
  <si>
    <t xml:space="preserve">Base monthly fees at 100% (all fee-bearing positions)</t>
  </si>
  <si>
    <t xml:space="preserve">Sell-through of sold-track positions</t>
  </si>
  <si>
    <t xml:space="preserve">Positions held by investor holders (placement pool)</t>
  </si>
  <si>
    <t xml:space="preserve">Retained and unsold positions (placed by OpCo)</t>
  </si>
  <si>
    <t xml:space="preserve">Placement pool occupancy</t>
  </si>
  <si>
    <t xml:space="preserve">Retained / unsold occupancy</t>
  </si>
  <si>
    <t xml:space="preserve">Positions placed (operator + pool occupied + retained occupied)</t>
  </si>
  <si>
    <t xml:space="preserve">Floor occupancy (placed ÷ fee-bearing positions)</t>
  </si>
  <si>
    <t xml:space="preserve">Average usage fee per position ($/mo)</t>
  </si>
  <si>
    <t xml:space="preserve">Placement pool gross rent (paid by placed brands)</t>
  </si>
  <si>
    <t xml:space="preserve">  of which passed to investor holders (not Atmosphere revenue)</t>
  </si>
  <si>
    <t xml:space="preserve">Investor holder net income per position per year (after usage fee)</t>
  </si>
  <si>
    <t xml:space="preserve">Indicative resale value per Position Right (spread ÷ cap rate)</t>
  </si>
  <si>
    <t xml:space="preserve">OpCo-TRS revenue — Landing till (what brands and tenants pay to be at the gate)</t>
  </si>
  <si>
    <t xml:space="preserve">Landing</t>
  </si>
  <si>
    <t xml:space="preserve">OpCo-TRS revenue — Terminal till (what the traffic itself produces)</t>
  </si>
  <si>
    <t xml:space="preserve">Terminal</t>
  </si>
  <si>
    <t xml:space="preserve">OpCo-TRS operating costs</t>
  </si>
  <si>
    <t xml:space="preserve">Floor staff and management</t>
  </si>
  <si>
    <t xml:space="preserve">Insurance</t>
  </si>
  <si>
    <t xml:space="preserve">Technology platform</t>
  </si>
  <si>
    <t xml:space="preserve">G&amp;A</t>
  </si>
  <si>
    <t xml:space="preserve">Cleaning and security (per visit)</t>
  </si>
  <si>
    <t xml:space="preserve">Cost of services (fulfillment, BoH, media, Phygital Ops)</t>
  </si>
  <si>
    <t xml:space="preserve">Marketing net of sponsor activation (contra)</t>
  </si>
  <si>
    <t xml:space="preserve">Dog Land operating cost (placeholder)</t>
  </si>
  <si>
    <t xml:space="preserve">OpCo operating costs</t>
  </si>
  <si>
    <t xml:space="preserve">MemberCo revenue (Terminal till)</t>
  </si>
  <si>
    <t xml:space="preserve">Member servicing</t>
  </si>
  <si>
    <t xml:space="preserve">Barter Hall desk and community programming</t>
  </si>
  <si>
    <t xml:space="preserve">MemberCo EBITDA</t>
  </si>
  <si>
    <t xml:space="preserve">PropCo revenue and EBITDA (Landing till)</t>
  </si>
  <si>
    <t xml:space="preserve">Share of OpCo NOI received</t>
  </si>
  <si>
    <t xml:space="preserve">Property tax</t>
  </si>
  <si>
    <t xml:space="preserve">Insurance and reserve</t>
  </si>
  <si>
    <t xml:space="preserve">Consolidated</t>
  </si>
  <si>
    <t xml:space="preserve">  Landing till (OpCo landing + PropCo tenants)</t>
  </si>
  <si>
    <t xml:space="preserve">  Terminal till (OpCo terminal + MemberCo)</t>
  </si>
  <si>
    <t xml:space="preserve">  Terminal till share of revenue</t>
  </si>
  <si>
    <t xml:space="preserve">RevPAM — revenue per member</t>
  </si>
  <si>
    <t xml:space="preserve">Revenue per sq ft</t>
  </si>
  <si>
    <t xml:space="preserve">Capital expenditure and unlevered pre-tax cash flow</t>
  </si>
  <si>
    <t xml:space="preserve">Sponsor Rung 0 kit (capex offset)</t>
  </si>
  <si>
    <t xml:space="preserve">PropCo box purchase (write-off price)</t>
  </si>
  <si>
    <t xml:space="preserve">Maintenance capex</t>
  </si>
  <si>
    <t xml:space="preserve">Total capex</t>
  </si>
  <si>
    <t xml:space="preserve">Unlevered pre-tax cash flow (no exit)</t>
  </si>
  <si>
    <t xml:space="preserve">Cumulative cash</t>
  </si>
  <si>
    <t xml:space="preserve">Payback flag (cumulative ≥ 0)</t>
  </si>
  <si>
    <t xml:space="preserve">Operator exit value (Year 7 only)</t>
  </si>
  <si>
    <t xml:space="preserve">Cash flow with Year-7 exit</t>
  </si>
  <si>
    <t xml:space="preserve">Returns</t>
  </si>
  <si>
    <t xml:space="preserve">IRR — 7 years, with Year-7 operator exit</t>
  </si>
  <si>
    <t xml:space="preserve">NPV @ discount rate — no exit</t>
  </si>
  <si>
    <t xml:space="preserve">NPV @ discount rate — with exit</t>
  </si>
  <si>
    <t xml:space="preserve">ROI 7-year — no exit (cumulative cash ÷ capex)</t>
  </si>
  <si>
    <t xml:space="preserve">Total capex (Year 0, net of kit)</t>
  </si>
  <si>
    <t xml:space="preserve">CALC — Realistic scenario · single 100,000 sq ft box · $ unless noted</t>
  </si>
  <si>
    <t xml:space="preserve">CALC — Optimistic scenario · single 100,000 sq ft box · $ unless noted</t>
  </si>
  <si>
    <t xml:space="preserve">NATIONWIDE ROLLOUT — portfolio by year (cohort method: each box follows its own Calc profile by age)</t>
  </si>
  <si>
    <t xml:space="preserve">Pessimistic scenario</t>
  </si>
  <si>
    <t xml:space="preserve">Locations opened in year</t>
  </si>
  <si>
    <t xml:space="preserve">Locations open (cumulative)</t>
  </si>
  <si>
    <t xml:space="preserve">Portfolio gross revenue</t>
  </si>
  <si>
    <t xml:space="preserve">Portfolio EBITDA</t>
  </si>
  <si>
    <t xml:space="preserve">Capex on new openings (net of kit)</t>
  </si>
  <si>
    <t xml:space="preserve">Maintenance capex (portfolio)</t>
  </si>
  <si>
    <t xml:space="preserve">Sponsor Rung 2 purchased participation (sites 2–N)</t>
  </si>
  <si>
    <t xml:space="preserve">Portfolio cash flow</t>
  </si>
  <si>
    <t xml:space="preserve">Cumulative portfolio cash</t>
  </si>
  <si>
    <t xml:space="preserve">Portfolio EV (actual EBITDA × exit multiple)</t>
  </si>
  <si>
    <t xml:space="preserve">Portfolio EV (stabilised: open boxes × Year-5 single-box EBITDA × multiple)</t>
  </si>
  <si>
    <t xml:space="preserve">EV ≥ $1B flag</t>
  </si>
  <si>
    <t xml:space="preserve">EV ≥ $10B flag</t>
  </si>
  <si>
    <t xml:space="preserve">Sponsor Rung 2 cumulative (Y7)</t>
  </si>
  <si>
    <t xml:space="preserve">Peak equity funding need (most negative cumulative cash)</t>
  </si>
  <si>
    <t xml:space="preserve">Boxes for $1B EV (stabilised)</t>
  </si>
  <si>
    <t xml:space="preserve">Boxes for $10B EV (stabilised)</t>
  </si>
  <si>
    <t xml:space="preserve">$1B EV milestone year</t>
  </si>
  <si>
    <t xml:space="preserve">$10B EV milestone year</t>
  </si>
  <si>
    <t xml:space="preserve">Realistic scenario</t>
  </si>
  <si>
    <t xml:space="preserve">Optimistic scenario</t>
  </si>
  <si>
    <t xml:space="preserve">ORANGE PLACEHOLDERS — the LOI work plan (source class pending)</t>
  </si>
  <si>
    <t xml:space="preserve">Input</t>
  </si>
  <si>
    <t xml:space="preserve">Source class expected</t>
  </si>
  <si>
    <t xml:space="preserve">Position class counts and base fees (sheet Positions)</t>
  </si>
  <si>
    <t xml:space="preserve">Space &amp; Capacity Model reconciliation; mall specialty-leasing and coworking comps</t>
  </si>
  <si>
    <t xml:space="preserve">Sell-through and occupancy curves (sheet Curves)</t>
  </si>
  <si>
    <t xml:space="preserve">Brand LOIs; placement pool pilot data</t>
  </si>
</sst>
</file>

<file path=xl/styles.xml><?xml version="1.0" encoding="utf-8"?>
<styleSheet xmlns="http://schemas.openxmlformats.org/spreadsheetml/2006/main">
  <numFmts count="10">
    <numFmt numFmtId="164" formatCode="General"/>
    <numFmt numFmtId="165" formatCode="#,##0;\(#,##0\);\-"/>
    <numFmt numFmtId="166" formatCode="\$#,##0;&quot;($&quot;#,##0\);\-"/>
    <numFmt numFmtId="167" formatCode="0.0%;\(0.0%\);\-"/>
    <numFmt numFmtId="168" formatCode="0.0\x"/>
    <numFmt numFmtId="169" formatCode="#,##0.000;\(#,##0.000\);\-"/>
    <numFmt numFmtId="170" formatCode="0.000%"/>
    <numFmt numFmtId="171" formatCode="0.00\x"/>
    <numFmt numFmtId="172" formatCode="#,##0.00"/>
    <numFmt numFmtId="173" formatCode="\$#,##0.0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8000"/>
      <name val="Arial"/>
      <family val="0"/>
      <charset val="1"/>
    </font>
    <font>
      <b val="true"/>
      <sz val="10"/>
      <color rgb="FF008000"/>
      <name val="Arial"/>
      <family val="0"/>
      <charset val="1"/>
    </font>
    <font>
      <sz val="10"/>
      <color rgb="FF0000FF"/>
      <name val="Arial"/>
      <family val="0"/>
      <charset val="1"/>
    </font>
  </fonts>
  <fills count="7">
    <fill>
      <patternFill patternType="none"/>
    </fill>
    <fill>
      <patternFill patternType="gray125"/>
    </fill>
    <fill>
      <patternFill patternType="solid">
        <fgColor rgb="FF000B3D"/>
        <bgColor rgb="FF000000"/>
      </patternFill>
    </fill>
    <fill>
      <patternFill patternType="solid">
        <fgColor rgb="FFEEEEEE"/>
        <bgColor rgb="FFF4FFD6"/>
      </patternFill>
    </fill>
    <fill>
      <patternFill patternType="solid">
        <fgColor rgb="FFFFE0B2"/>
        <bgColor rgb="FFEEEEEE"/>
      </patternFill>
    </fill>
    <fill>
      <patternFill patternType="solid">
        <fgColor rgb="FFFFFF00"/>
        <bgColor rgb="FFFFFF00"/>
      </patternFill>
    </fill>
    <fill>
      <patternFill patternType="solid">
        <fgColor rgb="FFF4FFD6"/>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bottom"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7" fontId="10" fillId="4"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0" fillId="5" borderId="0" xfId="0" applyFont="true" applyBorder="false" applyAlignment="false" applyProtection="false">
      <alignment horizontal="general" vertical="bottom" textRotation="0" wrapText="false" indent="0" shrinkToFit="false"/>
      <protection locked="tru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71" fontId="10" fillId="4" borderId="0" xfId="0" applyFont="true" applyBorder="false" applyAlignment="false" applyProtection="false">
      <alignment horizontal="general" vertical="bottom" textRotation="0" wrapText="false" indent="0" shrinkToFit="false"/>
      <protection locked="true" hidden="false"/>
    </xf>
    <xf numFmtId="166" fontId="10" fillId="4"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5" fontId="10" fillId="4" borderId="0" xfId="0" applyFont="true" applyBorder="false" applyAlignment="false" applyProtection="false">
      <alignment horizontal="general" vertical="bottom" textRotation="0" wrapText="false" indent="0" shrinkToFit="false"/>
      <protection locked="true" hidden="false"/>
    </xf>
    <xf numFmtId="172" fontId="10"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5" fillId="6" borderId="0" xfId="0" applyFont="true" applyBorder="false" applyAlignment="false" applyProtection="false">
      <alignment horizontal="general" vertical="bottom" textRotation="0" wrapText="false" indent="0" shrinkToFit="false"/>
      <protection locked="true" hidden="false"/>
    </xf>
    <xf numFmtId="166" fontId="0" fillId="4"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B3D"/>
      <rgbColor rgb="FF808000"/>
      <rgbColor rgb="FF800080"/>
      <rgbColor rgb="FF008080"/>
      <rgbColor rgb="FFC0C0C0"/>
      <rgbColor rgb="FF808080"/>
      <rgbColor rgb="FF9999FF"/>
      <rgbColor rgb="FF993366"/>
      <rgbColor rgb="FFF4FFD6"/>
      <rgbColor rgb="FFEEEE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E0B2"/>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4" customFormat="false" ht="15" hidden="false" customHeight="false" outlineLevel="0" collapsed="false">
      <c r="A4" s="3"/>
    </row>
    <row r="5" customFormat="false" ht="15" hidden="false" customHeight="false" outlineLevel="0" collapsed="false">
      <c r="A5" s="2" t="s">
        <v>3</v>
      </c>
    </row>
    <row r="6" customFormat="false" ht="23.85" hidden="false" customHeight="false" outlineLevel="0" collapsed="false">
      <c r="A6" s="3" t="s">
        <v>4</v>
      </c>
    </row>
    <row r="7" customFormat="false" ht="15" hidden="false" customHeight="false" outlineLevel="0" collapsed="false">
      <c r="A7" s="3"/>
    </row>
    <row r="8" customFormat="false" ht="15" hidden="false" customHeight="false" outlineLevel="0" collapsed="false">
      <c r="A8" s="2" t="s">
        <v>5</v>
      </c>
    </row>
    <row r="9" customFormat="false" ht="23.85" hidden="false" customHeight="false" outlineLevel="0" collapsed="false">
      <c r="A9" s="3" t="s">
        <v>6</v>
      </c>
    </row>
    <row r="10" customFormat="false" ht="23.85" hidden="false" customHeight="false" outlineLevel="0" collapsed="false">
      <c r="A10" s="3" t="s">
        <v>7</v>
      </c>
    </row>
    <row r="11" customFormat="false" ht="23.85" hidden="false" customHeight="false" outlineLevel="0" collapsed="false">
      <c r="A11" s="3" t="s">
        <v>8</v>
      </c>
    </row>
    <row r="12" customFormat="false" ht="23.85" hidden="false" customHeight="false" outlineLevel="0" collapsed="false">
      <c r="A12" s="3" t="s">
        <v>9</v>
      </c>
    </row>
    <row r="13" customFormat="false" ht="15" hidden="false" customHeight="false" outlineLevel="0" collapsed="false">
      <c r="A13" s="3" t="s">
        <v>10</v>
      </c>
    </row>
    <row r="14" customFormat="false" ht="23.85" hidden="false" customHeight="false" outlineLevel="0" collapsed="false">
      <c r="A14" s="3" t="s">
        <v>11</v>
      </c>
    </row>
    <row r="15" customFormat="false" ht="15" hidden="false" customHeight="false" outlineLevel="0" collapsed="false">
      <c r="A15" s="3" t="s">
        <v>12</v>
      </c>
    </row>
    <row r="16" customFormat="false" ht="15" hidden="false" customHeight="false" outlineLevel="0" collapsed="false">
      <c r="A16" s="3"/>
    </row>
    <row r="17" customFormat="false" ht="15" hidden="false" customHeight="false" outlineLevel="0" collapsed="false">
      <c r="A17" s="2" t="s">
        <v>13</v>
      </c>
    </row>
    <row r="18" customFormat="false" ht="23.85" hidden="false" customHeight="false" outlineLevel="0" collapsed="false">
      <c r="A18" s="3" t="s">
        <v>14</v>
      </c>
    </row>
    <row r="19" customFormat="false" ht="15" hidden="false" customHeight="false" outlineLevel="0" collapsed="false">
      <c r="A19" s="3"/>
    </row>
    <row r="20" customFormat="false" ht="15" hidden="false" customHeight="false" outlineLevel="0" collapsed="false">
      <c r="A20" s="2" t="s">
        <v>15</v>
      </c>
    </row>
    <row r="21" customFormat="false" ht="57.45" hidden="false" customHeight="false" outlineLevel="0" collapsed="false">
      <c r="A21" s="3"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8" min="2" style="0" width="16"/>
  </cols>
  <sheetData>
    <row r="1" customFormat="false" ht="17.35" hidden="false" customHeight="false" outlineLevel="0" collapsed="false">
      <c r="A1" s="4" t="s">
        <v>17</v>
      </c>
    </row>
    <row r="3" customFormat="false" ht="23.85" hidden="false" customHeight="false" outlineLevel="0" collapsed="false">
      <c r="A3" s="5" t="s">
        <v>18</v>
      </c>
      <c r="B3" s="5" t="s">
        <v>19</v>
      </c>
      <c r="C3" s="5" t="s">
        <v>20</v>
      </c>
      <c r="D3" s="5" t="s">
        <v>21</v>
      </c>
    </row>
    <row r="4" customFormat="false" ht="15" hidden="false" customHeight="false" outlineLevel="0" collapsed="false">
      <c r="A4" s="6" t="s">
        <v>22</v>
      </c>
      <c r="B4" s="7"/>
      <c r="C4" s="7"/>
      <c r="D4" s="7"/>
    </row>
    <row r="5" customFormat="false" ht="15" hidden="false" customHeight="false" outlineLevel="0" collapsed="false">
      <c r="A5" s="0" t="s">
        <v>23</v>
      </c>
      <c r="B5" s="8" t="n">
        <f aca="false">Calc_P!H7</f>
        <v>1038</v>
      </c>
      <c r="C5" s="8" t="n">
        <f aca="false">Calc_R!H7</f>
        <v>4038</v>
      </c>
      <c r="D5" s="8" t="n">
        <f aca="false">Calc_O!H7</f>
        <v>6346</v>
      </c>
    </row>
    <row r="6" customFormat="false" ht="15" hidden="false" customHeight="false" outlineLevel="0" collapsed="false">
      <c r="A6" s="0" t="s">
        <v>24</v>
      </c>
      <c r="B6" s="8" t="n">
        <f aca="false">Calc_P!H8</f>
        <v>5250</v>
      </c>
      <c r="C6" s="8" t="n">
        <f aca="false">Calc_R!H8</f>
        <v>15120</v>
      </c>
      <c r="D6" s="8" t="n">
        <f aca="false">Calc_O!H8</f>
        <v>28875</v>
      </c>
    </row>
    <row r="7" customFormat="false" ht="15" hidden="false" customHeight="false" outlineLevel="0" collapsed="false">
      <c r="A7" s="0" t="s">
        <v>25</v>
      </c>
      <c r="B7" s="8" t="n">
        <f aca="false">Calc_P!H9</f>
        <v>180</v>
      </c>
      <c r="C7" s="8" t="n">
        <f aca="false">Calc_R!H9</f>
        <v>500</v>
      </c>
      <c r="D7" s="8" t="n">
        <f aca="false">Calc_O!H9</f>
        <v>1050</v>
      </c>
    </row>
    <row r="8" customFormat="false" ht="15" hidden="false" customHeight="false" outlineLevel="0" collapsed="false">
      <c r="A8" s="0" t="s">
        <v>26</v>
      </c>
      <c r="B8" s="8" t="n">
        <f aca="false">Calc_P!H11</f>
        <v>347.351223307217</v>
      </c>
      <c r="C8" s="8" t="n">
        <f aca="false">Calc_R!H11</f>
        <v>8152.86647741795</v>
      </c>
      <c r="D8" s="8" t="n">
        <f aca="false">Calc_O!H11</f>
        <v>37623.0272703041</v>
      </c>
    </row>
    <row r="9" customFormat="false" ht="15" hidden="false" customHeight="false" outlineLevel="0" collapsed="false">
      <c r="A9" s="9" t="s">
        <v>27</v>
      </c>
      <c r="B9" s="10" t="n">
        <f aca="false">Calc_P!H12</f>
        <v>6815.35122330722</v>
      </c>
      <c r="C9" s="10" t="n">
        <f aca="false">Calc_R!H12</f>
        <v>27810.866477418</v>
      </c>
      <c r="D9" s="10" t="n">
        <f aca="false">Calc_O!H12</f>
        <v>73894.0272703041</v>
      </c>
    </row>
    <row r="10" customFormat="false" ht="15" hidden="false" customHeight="false" outlineLevel="0" collapsed="false">
      <c r="A10" s="0" t="s">
        <v>28</v>
      </c>
      <c r="B10" s="8" t="n">
        <f aca="false">Calc_P!H13</f>
        <v>354398.263611975</v>
      </c>
      <c r="C10" s="8" t="n">
        <f aca="false">Calc_R!H13</f>
        <v>1446165.05682573</v>
      </c>
      <c r="D10" s="8" t="n">
        <f aca="false">Calc_O!H13</f>
        <v>3842489.41805582</v>
      </c>
    </row>
    <row r="11" customFormat="false" ht="15" hidden="false" customHeight="false" outlineLevel="0" collapsed="false">
      <c r="A11" s="0" t="s">
        <v>29</v>
      </c>
      <c r="B11" s="8" t="n">
        <f aca="false">Calc_P!H14</f>
        <v>619.842563057345</v>
      </c>
      <c r="C11" s="8" t="n">
        <f aca="false">Calc_R!H14</f>
        <v>5501.9349586935</v>
      </c>
      <c r="D11" s="8" t="n">
        <f aca="false">Calc_O!H14</f>
        <v>10144.1720636674</v>
      </c>
    </row>
    <row r="12" customFormat="false" ht="15" hidden="false" customHeight="false" outlineLevel="0" collapsed="false">
      <c r="A12" s="9" t="s">
        <v>30</v>
      </c>
      <c r="B12" s="10" t="n">
        <f aca="false">Calc_P!H15</f>
        <v>2511.35829691754</v>
      </c>
      <c r="C12" s="10" t="n">
        <f aca="false">Calc_R!H15</f>
        <v>19504.9499008236</v>
      </c>
      <c r="D12" s="10" t="n">
        <f aca="false">Calc_O!H15</f>
        <v>38988.4929709005</v>
      </c>
    </row>
    <row r="13" customFormat="false" ht="15" hidden="false" customHeight="false" outlineLevel="0" collapsed="false">
      <c r="A13" s="0" t="s">
        <v>31</v>
      </c>
      <c r="B13" s="11" t="n">
        <f aca="false">Calc_P!H112</f>
        <v>2484.92976005136</v>
      </c>
      <c r="C13" s="11" t="n">
        <f aca="false">Calc_R!H112</f>
        <v>1024.19533617954</v>
      </c>
      <c r="D13" s="11" t="n">
        <f aca="false">Calc_O!H112</f>
        <v>1008.45143200633</v>
      </c>
    </row>
    <row r="14" customFormat="false" ht="15" hidden="false" customHeight="false" outlineLevel="0" collapsed="false">
      <c r="A14" s="6" t="s">
        <v>32</v>
      </c>
      <c r="B14" s="7"/>
      <c r="C14" s="7"/>
      <c r="D14" s="7"/>
    </row>
    <row r="15" customFormat="false" ht="15" hidden="false" customHeight="false" outlineLevel="0" collapsed="false">
      <c r="A15" s="0" t="s">
        <v>33</v>
      </c>
      <c r="B15" s="8" t="n">
        <f aca="false">Calc_P!D12</f>
        <v>2997.47515730785</v>
      </c>
      <c r="C15" s="8" t="n">
        <f aca="false">Calc_R!D12</f>
        <v>11876.712</v>
      </c>
      <c r="D15" s="8" t="n">
        <f aca="false">Calc_O!D12</f>
        <v>26214.9</v>
      </c>
    </row>
    <row r="16" customFormat="false" ht="15" hidden="false" customHeight="false" outlineLevel="0" collapsed="false">
      <c r="A16" s="0" t="s">
        <v>34</v>
      </c>
      <c r="B16" s="8" t="n">
        <f aca="false">Calc_P!D15</f>
        <v>1097.91437060683</v>
      </c>
      <c r="C16" s="8" t="n">
        <f aca="false">Calc_R!D15</f>
        <v>6204.317441808</v>
      </c>
      <c r="D16" s="8" t="n">
        <f aca="false">Calc_O!D15</f>
        <v>15354.541472</v>
      </c>
    </row>
    <row r="17" customFormat="false" ht="15" hidden="false" customHeight="false" outlineLevel="0" collapsed="false">
      <c r="A17" s="6" t="s">
        <v>35</v>
      </c>
      <c r="B17" s="7"/>
      <c r="C17" s="7"/>
      <c r="D17" s="7"/>
    </row>
    <row r="18" customFormat="false" ht="15" hidden="false" customHeight="false" outlineLevel="0" collapsed="false">
      <c r="A18" s="0" t="s">
        <v>36</v>
      </c>
      <c r="B18" s="8" t="n">
        <f aca="false">Calc_P!H28</f>
        <v>213.192</v>
      </c>
      <c r="C18" s="8" t="n">
        <f aca="false">Calc_R!H28</f>
        <v>468.825</v>
      </c>
      <c r="D18" s="8" t="n">
        <f aca="false">Calc_O!H28</f>
        <v>542.85</v>
      </c>
    </row>
    <row r="19" customFormat="false" ht="15" hidden="false" customHeight="false" outlineLevel="0" collapsed="false">
      <c r="A19" s="0" t="s">
        <v>37</v>
      </c>
      <c r="B19" s="8" t="n">
        <f aca="false">Calc_P!H29</f>
        <v>71.064</v>
      </c>
      <c r="C19" s="8" t="n">
        <f aca="false">Calc_R!H29</f>
        <v>281.295</v>
      </c>
      <c r="D19" s="8" t="n">
        <f aca="false">Calc_O!H29</f>
        <v>345.45</v>
      </c>
    </row>
    <row r="20" customFormat="false" ht="15" hidden="false" customHeight="false" outlineLevel="0" collapsed="false">
      <c r="A20" s="0" t="s">
        <v>38</v>
      </c>
      <c r="B20" s="8" t="n">
        <f aca="false">Calc_P!H30</f>
        <v>702.744</v>
      </c>
      <c r="C20" s="8" t="n">
        <f aca="false">Calc_R!H30</f>
        <v>236.88</v>
      </c>
      <c r="D20" s="8" t="n">
        <f aca="false">Calc_O!H30</f>
        <v>98.7</v>
      </c>
    </row>
    <row r="21" customFormat="false" ht="15" hidden="false" customHeight="false" outlineLevel="0" collapsed="false">
      <c r="A21" s="0" t="s">
        <v>39</v>
      </c>
      <c r="B21" s="8" t="n">
        <f aca="false">Calc_P!H33</f>
        <v>494.6844</v>
      </c>
      <c r="C21" s="8" t="n">
        <f aca="false">Calc_R!H33</f>
        <v>909.27375</v>
      </c>
      <c r="D21" s="8" t="n">
        <f aca="false">Calc_O!H33</f>
        <v>964.7925</v>
      </c>
    </row>
    <row r="22" customFormat="false" ht="15" hidden="false" customHeight="false" outlineLevel="0" collapsed="false">
      <c r="A22" s="0" t="s">
        <v>40</v>
      </c>
      <c r="B22" s="12" t="n">
        <f aca="false">Calc_P!H34</f>
        <v>0.5012</v>
      </c>
      <c r="C22" s="12" t="n">
        <f aca="false">Calc_R!H34</f>
        <v>0.92125</v>
      </c>
      <c r="D22" s="12" t="n">
        <f aca="false">Calc_O!H34</f>
        <v>0.9775</v>
      </c>
    </row>
    <row r="23" customFormat="false" ht="15" hidden="false" customHeight="false" outlineLevel="0" collapsed="false">
      <c r="A23" s="0" t="s">
        <v>41</v>
      </c>
      <c r="B23" s="11" t="n">
        <f aca="false">Calc_P!H35</f>
        <v>450.547112462006</v>
      </c>
      <c r="C23" s="11" t="n">
        <f aca="false">Calc_R!H35</f>
        <v>500.607902735562</v>
      </c>
      <c r="D23" s="11" t="n">
        <f aca="false">Calc_O!H35</f>
        <v>550.668693009119</v>
      </c>
    </row>
    <row r="24" customFormat="false" ht="15" hidden="false" customHeight="false" outlineLevel="0" collapsed="false">
      <c r="A24" s="0" t="s">
        <v>42</v>
      </c>
      <c r="B24" s="11" t="n">
        <f aca="false">Calc_P!H38</f>
        <v>-2378.88875379939</v>
      </c>
      <c r="C24" s="11" t="n">
        <f aca="false">Calc_R!H38</f>
        <v>1141.38601823708</v>
      </c>
      <c r="D24" s="11" t="n">
        <f aca="false">Calc_O!H38</f>
        <v>3059.51525835866</v>
      </c>
    </row>
    <row r="25" customFormat="false" ht="15" hidden="false" customHeight="false" outlineLevel="0" collapsed="false">
      <c r="A25" s="0" t="s">
        <v>43</v>
      </c>
      <c r="B25" s="11" t="n">
        <f aca="false">Calc_P!H39</f>
        <v>0</v>
      </c>
      <c r="C25" s="11" t="n">
        <f aca="false">Calc_R!H39</f>
        <v>9511.55015197567</v>
      </c>
      <c r="D25" s="11" t="n">
        <f aca="false">Calc_O!H39</f>
        <v>30595.1525835866</v>
      </c>
    </row>
    <row r="26" customFormat="false" ht="15" hidden="false" customHeight="false" outlineLevel="0" collapsed="false">
      <c r="A26" s="6" t="s">
        <v>44</v>
      </c>
      <c r="B26" s="7"/>
      <c r="C26" s="7"/>
      <c r="D26" s="7"/>
    </row>
    <row r="27" customFormat="false" ht="15" hidden="false" customHeight="false" outlineLevel="0" collapsed="false">
      <c r="A27" s="0" t="s">
        <v>45</v>
      </c>
      <c r="B27" s="11" t="n">
        <f aca="false">Calc_P!H41</f>
        <v>1152636.48</v>
      </c>
      <c r="C27" s="11" t="n">
        <f aca="false">Calc_R!H41</f>
        <v>2816370</v>
      </c>
      <c r="D27" s="11" t="n">
        <f aca="false">Calc_O!H41</f>
        <v>3587166</v>
      </c>
    </row>
    <row r="28" customFormat="false" ht="15" hidden="false" customHeight="false" outlineLevel="0" collapsed="false">
      <c r="A28" s="0" t="s">
        <v>46</v>
      </c>
      <c r="B28" s="11" t="n">
        <f aca="false">Calc_P!H42</f>
        <v>384212.16</v>
      </c>
      <c r="C28" s="11" t="n">
        <f aca="false">Calc_R!H42</f>
        <v>1689822</v>
      </c>
      <c r="D28" s="11" t="n">
        <f aca="false">Calc_O!H42</f>
        <v>2282742</v>
      </c>
    </row>
    <row r="29" customFormat="false" ht="15" hidden="false" customHeight="false" outlineLevel="0" collapsed="false">
      <c r="A29" s="0" t="s">
        <v>47</v>
      </c>
      <c r="B29" s="11" t="n">
        <f aca="false">Calc_P!H43</f>
        <v>92210.9184</v>
      </c>
      <c r="C29" s="11" t="n">
        <f aca="false">Calc_R!H43</f>
        <v>861809.22</v>
      </c>
      <c r="D29" s="11" t="n">
        <f aca="false">Calc_O!H43</f>
        <v>1431279.234</v>
      </c>
    </row>
    <row r="30" customFormat="false" ht="15" hidden="false" customHeight="false" outlineLevel="0" collapsed="false">
      <c r="A30" s="0" t="s">
        <v>48</v>
      </c>
      <c r="B30" s="11" t="n">
        <f aca="false">Calc_P!H44</f>
        <v>2127681.5616</v>
      </c>
      <c r="C30" s="11" t="n">
        <f aca="false">Calc_R!H44</f>
        <v>2419113.6</v>
      </c>
      <c r="D30" s="11" t="n">
        <f aca="false">Calc_O!H44</f>
        <v>1363123.08</v>
      </c>
    </row>
    <row r="31" customFormat="false" ht="15" hidden="false" customHeight="false" outlineLevel="0" collapsed="false">
      <c r="A31" s="0" t="s">
        <v>49</v>
      </c>
      <c r="B31" s="11" t="n">
        <f aca="false">Calc_P!H45</f>
        <v>0</v>
      </c>
      <c r="C31" s="11" t="n">
        <f aca="false">Calc_R!H45</f>
        <v>0</v>
      </c>
      <c r="D31" s="11" t="n">
        <f aca="false">Calc_O!H45</f>
        <v>0</v>
      </c>
    </row>
    <row r="32" customFormat="false" ht="15" hidden="false" customHeight="false" outlineLevel="0" collapsed="false">
      <c r="A32" s="0" t="s">
        <v>50</v>
      </c>
      <c r="B32" s="11" t="n">
        <f aca="false">Calc_P!H46</f>
        <v>0</v>
      </c>
      <c r="C32" s="11" t="n">
        <f aca="false">Calc_R!H46</f>
        <v>28539.216</v>
      </c>
      <c r="D32" s="11" t="n">
        <f aca="false">Calc_O!H46</f>
        <v>135888.3702</v>
      </c>
    </row>
    <row r="33" customFormat="false" ht="15" hidden="false" customHeight="false" outlineLevel="0" collapsed="false">
      <c r="A33" s="0" t="s">
        <v>51</v>
      </c>
      <c r="B33" s="11" t="n">
        <f aca="false">Calc_P!H47</f>
        <v>158299.008</v>
      </c>
      <c r="C33" s="11" t="n">
        <f aca="false">Calc_R!H47</f>
        <v>390987.7125</v>
      </c>
      <c r="D33" s="11" t="n">
        <f aca="false">Calc_O!H47</f>
        <v>501692.1</v>
      </c>
    </row>
    <row r="34" customFormat="false" ht="15" hidden="false" customHeight="false" outlineLevel="0" collapsed="false">
      <c r="A34" s="0" t="s">
        <v>52</v>
      </c>
      <c r="B34" s="11" t="n">
        <f aca="false">Calc_P!H48</f>
        <v>313864.2326346</v>
      </c>
      <c r="C34" s="11" t="n">
        <f aca="false">Calc_R!H48</f>
        <v>786584.065048933</v>
      </c>
      <c r="D34" s="11" t="n">
        <f aca="false">Calc_O!H48</f>
        <v>1423243.06523354</v>
      </c>
    </row>
    <row r="35" customFormat="false" ht="15" hidden="false" customHeight="false" outlineLevel="0" collapsed="false">
      <c r="A35" s="0" t="s">
        <v>53</v>
      </c>
      <c r="B35" s="11" t="n">
        <f aca="false">Calc_P!H49</f>
        <v>299012.612793846</v>
      </c>
      <c r="C35" s="11" t="n">
        <f aca="false">Calc_R!H49</f>
        <v>591101.634681742</v>
      </c>
      <c r="D35" s="11" t="n">
        <f aca="false">Calc_O!H49</f>
        <v>889526.91577096</v>
      </c>
    </row>
    <row r="36" customFormat="false" ht="15" hidden="false" customHeight="false" outlineLevel="0" collapsed="false">
      <c r="A36" s="0" t="s">
        <v>54</v>
      </c>
      <c r="B36" s="11" t="n">
        <f aca="false">Calc_P!H50</f>
        <v>50000</v>
      </c>
      <c r="C36" s="11" t="n">
        <f aca="false">Calc_R!H50</f>
        <v>175000</v>
      </c>
      <c r="D36" s="11" t="n">
        <f aca="false">Calc_O!H50</f>
        <v>250000</v>
      </c>
    </row>
    <row r="37" customFormat="false" ht="15" hidden="false" customHeight="false" outlineLevel="0" collapsed="false">
      <c r="A37" s="9" t="s">
        <v>55</v>
      </c>
      <c r="B37" s="13" t="n">
        <f aca="false">Calc_P!H51</f>
        <v>4577916.97342845</v>
      </c>
      <c r="C37" s="13" t="n">
        <f aca="false">Calc_R!H51</f>
        <v>9759327.44823067</v>
      </c>
      <c r="D37" s="13" t="n">
        <f aca="false">Calc_O!H51</f>
        <v>11864660.7652045</v>
      </c>
    </row>
    <row r="38" customFormat="false" ht="15" hidden="false" customHeight="false" outlineLevel="0" collapsed="false">
      <c r="A38" s="0" t="s">
        <v>56</v>
      </c>
      <c r="B38" s="11" t="n">
        <f aca="false">Calc_P!H53</f>
        <v>164357.926237677</v>
      </c>
      <c r="C38" s="11" t="n">
        <f aca="false">Calc_R!H53</f>
        <v>693497.193445509</v>
      </c>
      <c r="D38" s="11" t="n">
        <f aca="false">Calc_O!H53</f>
        <v>1956959.21469611</v>
      </c>
    </row>
    <row r="39" customFormat="false" ht="15" hidden="false" customHeight="false" outlineLevel="0" collapsed="false">
      <c r="A39" s="0" t="s">
        <v>57</v>
      </c>
      <c r="B39" s="11" t="n">
        <f aca="false">Calc_P!H54</f>
        <v>431687.083371248</v>
      </c>
      <c r="C39" s="11" t="n">
        <f aca="false">Calc_R!H54</f>
        <v>1489389.94565478</v>
      </c>
      <c r="D39" s="11" t="n">
        <f aca="false">Calc_O!H54</f>
        <v>3291249.58835255</v>
      </c>
    </row>
    <row r="40" customFormat="false" ht="15" hidden="false" customHeight="false" outlineLevel="0" collapsed="false">
      <c r="A40" s="0" t="s">
        <v>58</v>
      </c>
      <c r="B40" s="11" t="n">
        <f aca="false">Calc_P!H55</f>
        <v>7000.99883648855</v>
      </c>
      <c r="C40" s="11" t="n">
        <f aca="false">Calc_R!H55</f>
        <v>312079.198413177</v>
      </c>
      <c r="D40" s="11" t="n">
        <f aca="false">Calc_O!H55</f>
        <v>2299321.38033516</v>
      </c>
    </row>
    <row r="41" customFormat="false" ht="15" hidden="false" customHeight="false" outlineLevel="0" collapsed="false">
      <c r="A41" s="0" t="s">
        <v>59</v>
      </c>
      <c r="B41" s="11" t="n">
        <f aca="false">Calc_P!H56</f>
        <v>2691.19479505424</v>
      </c>
      <c r="C41" s="11" t="n">
        <f aca="false">Calc_R!H56</f>
        <v>156231.130042952</v>
      </c>
      <c r="D41" s="11" t="n">
        <f aca="false">Calc_O!H56</f>
        <v>1166642.25650819</v>
      </c>
    </row>
    <row r="42" customFormat="false" ht="15" hidden="false" customHeight="false" outlineLevel="0" collapsed="false">
      <c r="A42" s="0" t="s">
        <v>60</v>
      </c>
      <c r="B42" s="11" t="n">
        <f aca="false">Calc_P!H57</f>
        <v>0</v>
      </c>
      <c r="C42" s="11" t="n">
        <f aca="false">Calc_R!H57</f>
        <v>251334.553329245</v>
      </c>
      <c r="D42" s="11" t="n">
        <f aca="false">Calc_O!H57</f>
        <v>889526.91577096</v>
      </c>
    </row>
    <row r="43" customFormat="false" ht="15" hidden="false" customHeight="false" outlineLevel="0" collapsed="false">
      <c r="A43" s="0" t="s">
        <v>61</v>
      </c>
      <c r="B43" s="11" t="n">
        <f aca="false">Calc_P!H58</f>
        <v>198021.597876719</v>
      </c>
      <c r="C43" s="11" t="n">
        <f aca="false">Calc_R!H58</f>
        <v>558521.229620544</v>
      </c>
      <c r="D43" s="11" t="n">
        <f aca="false">Calc_O!H58</f>
        <v>978479.607348056</v>
      </c>
    </row>
    <row r="44" customFormat="false" ht="15" hidden="false" customHeight="false" outlineLevel="0" collapsed="false">
      <c r="A44" s="0" t="s">
        <v>62</v>
      </c>
      <c r="B44" s="11" t="n">
        <f aca="false">Calc_P!H59</f>
        <v>20000</v>
      </c>
      <c r="C44" s="11" t="n">
        <f aca="false">Calc_R!H59</f>
        <v>60000</v>
      </c>
      <c r="D44" s="11" t="n">
        <f aca="false">Calc_O!H59</f>
        <v>100000</v>
      </c>
    </row>
    <row r="45" customFormat="false" ht="15" hidden="false" customHeight="false" outlineLevel="0" collapsed="false">
      <c r="A45" s="0" t="s">
        <v>63</v>
      </c>
      <c r="B45" s="11" t="n">
        <f aca="false">Calc_P!H60</f>
        <v>17719.9131805988</v>
      </c>
      <c r="C45" s="11" t="n">
        <f aca="false">Calc_R!H60</f>
        <v>144616.505682573</v>
      </c>
      <c r="D45" s="11" t="n">
        <f aca="false">Calc_O!H60</f>
        <v>576373.412708372</v>
      </c>
    </row>
    <row r="46" customFormat="false" ht="15" hidden="false" customHeight="false" outlineLevel="0" collapsed="false">
      <c r="A46" s="9" t="s">
        <v>64</v>
      </c>
      <c r="B46" s="13" t="n">
        <f aca="false">Calc_P!H61</f>
        <v>841478.714297786</v>
      </c>
      <c r="C46" s="13" t="n">
        <f aca="false">Calc_R!H61</f>
        <v>3665669.75618878</v>
      </c>
      <c r="D46" s="13" t="n">
        <f aca="false">Calc_O!H61</f>
        <v>11258552.3757194</v>
      </c>
    </row>
    <row r="47" customFormat="false" ht="15" hidden="false" customHeight="false" outlineLevel="0" collapsed="false">
      <c r="A47" s="9" t="s">
        <v>65</v>
      </c>
      <c r="B47" s="13" t="n">
        <f aca="false">Calc_P!H62</f>
        <v>5419395.68772623</v>
      </c>
      <c r="C47" s="13" t="n">
        <f aca="false">Calc_R!H62</f>
        <v>13424997.2044195</v>
      </c>
      <c r="D47" s="13" t="n">
        <f aca="false">Calc_O!H62</f>
        <v>23123213.1409239</v>
      </c>
    </row>
    <row r="48" customFormat="false" ht="15" hidden="false" customHeight="false" outlineLevel="0" collapsed="false">
      <c r="A48" s="6" t="s">
        <v>66</v>
      </c>
      <c r="B48" s="7"/>
      <c r="C48" s="7"/>
      <c r="D48" s="7"/>
    </row>
    <row r="49" customFormat="false" ht="15" hidden="false" customHeight="false" outlineLevel="0" collapsed="false">
      <c r="A49" s="0" t="s">
        <v>67</v>
      </c>
      <c r="B49" s="11" t="n">
        <f aca="false">Calc_P!H80</f>
        <v>452044.493445156</v>
      </c>
      <c r="C49" s="11" t="n">
        <f aca="false">Calc_R!H80</f>
        <v>4700692.92609848</v>
      </c>
      <c r="D49" s="11" t="n">
        <f aca="false">Calc_O!H80</f>
        <v>11696547.8912702</v>
      </c>
    </row>
    <row r="50" customFormat="false" ht="15" hidden="false" customHeight="false" outlineLevel="0" collapsed="false">
      <c r="A50" s="0" t="s">
        <v>68</v>
      </c>
      <c r="B50" s="11" t="n">
        <f aca="false">Calc_P!H81</f>
        <v>4972.48942789672</v>
      </c>
      <c r="C50" s="11" t="n">
        <f aca="false">Calc_R!H81</f>
        <v>70510.3938914772</v>
      </c>
      <c r="D50" s="11" t="n">
        <f aca="false">Calc_O!H81</f>
        <v>233930.957825403</v>
      </c>
    </row>
    <row r="51" customFormat="false" ht="15" hidden="false" customHeight="false" outlineLevel="0" collapsed="false">
      <c r="A51" s="0" t="s">
        <v>69</v>
      </c>
      <c r="B51" s="11" t="n">
        <f aca="false">Calc_P!H82</f>
        <v>9000</v>
      </c>
      <c r="C51" s="11" t="n">
        <f aca="false">Calc_R!H82</f>
        <v>36000</v>
      </c>
      <c r="D51" s="11" t="n">
        <f aca="false">Calc_O!H82</f>
        <v>90000</v>
      </c>
    </row>
    <row r="52" customFormat="false" ht="15" hidden="false" customHeight="false" outlineLevel="0" collapsed="false">
      <c r="A52" s="0" t="s">
        <v>70</v>
      </c>
      <c r="B52" s="11" t="n">
        <f aca="false">Calc_P!H83</f>
        <v>60000</v>
      </c>
      <c r="C52" s="11" t="n">
        <f aca="false">Calc_R!H83</f>
        <v>225000</v>
      </c>
      <c r="D52" s="11" t="n">
        <f aca="false">Calc_O!H83</f>
        <v>600000</v>
      </c>
    </row>
    <row r="53" customFormat="false" ht="15" hidden="false" customHeight="false" outlineLevel="0" collapsed="false">
      <c r="A53" s="0" t="s">
        <v>71</v>
      </c>
      <c r="B53" s="11" t="n">
        <f aca="false">Calc_P!H84</f>
        <v>0</v>
      </c>
      <c r="C53" s="11" t="n">
        <f aca="false">Calc_R!H84</f>
        <v>234059.398809883</v>
      </c>
      <c r="D53" s="11" t="n">
        <f aca="false">Calc_O!H84</f>
        <v>935723.831301613</v>
      </c>
    </row>
    <row r="54" customFormat="false" ht="15" hidden="false" customHeight="false" outlineLevel="0" collapsed="false">
      <c r="A54" s="0" t="s">
        <v>72</v>
      </c>
      <c r="B54" s="11" t="n">
        <f aca="false">Calc_P!H85</f>
        <v>0</v>
      </c>
      <c r="C54" s="11" t="n">
        <f aca="false">Calc_R!H85</f>
        <v>250000</v>
      </c>
      <c r="D54" s="11" t="n">
        <f aca="false">Calc_O!H85</f>
        <v>500000</v>
      </c>
    </row>
    <row r="55" customFormat="false" ht="15" hidden="false" customHeight="false" outlineLevel="0" collapsed="false">
      <c r="A55" s="0" t="s">
        <v>73</v>
      </c>
      <c r="B55" s="11" t="n">
        <f aca="false">Calc_P!H86</f>
        <v>30136.2995630104</v>
      </c>
      <c r="C55" s="11" t="n">
        <f aca="false">Calc_R!H86</f>
        <v>468118.797619766</v>
      </c>
      <c r="D55" s="11" t="n">
        <f aca="false">Calc_O!H86</f>
        <v>1403585.74695242</v>
      </c>
    </row>
    <row r="56" customFormat="false" ht="15" hidden="false" customHeight="false" outlineLevel="0" collapsed="false">
      <c r="A56" s="9" t="s">
        <v>74</v>
      </c>
      <c r="B56" s="13" t="n">
        <f aca="false">Calc_P!H87</f>
        <v>556153.282436064</v>
      </c>
      <c r="C56" s="13" t="n">
        <f aca="false">Calc_R!H87</f>
        <v>5984381.51641961</v>
      </c>
      <c r="D56" s="13" t="n">
        <f aca="false">Calc_O!H87</f>
        <v>15459788.4273496</v>
      </c>
    </row>
    <row r="57" customFormat="false" ht="15" hidden="false" customHeight="false" outlineLevel="0" collapsed="false">
      <c r="A57" s="6" t="s">
        <v>75</v>
      </c>
      <c r="B57" s="7"/>
      <c r="C57" s="7"/>
      <c r="D57" s="7"/>
    </row>
    <row r="58" customFormat="false" ht="15" hidden="false" customHeight="false" outlineLevel="0" collapsed="false">
      <c r="A58" s="0" t="s">
        <v>76</v>
      </c>
      <c r="B58" s="11" t="n">
        <f aca="false">Calc_P!H94</f>
        <v>108000</v>
      </c>
      <c r="C58" s="11" t="n">
        <f aca="false">Calc_R!H94</f>
        <v>148500</v>
      </c>
      <c r="D58" s="11" t="n">
        <f aca="false">Calc_O!H94</f>
        <v>189000</v>
      </c>
    </row>
    <row r="59" customFormat="false" ht="15" hidden="false" customHeight="false" outlineLevel="0" collapsed="false">
      <c r="A59" s="0" t="s">
        <v>77</v>
      </c>
      <c r="B59" s="11" t="n">
        <f aca="false">Calc_P!H95</f>
        <v>80000</v>
      </c>
      <c r="C59" s="11" t="n">
        <f aca="false">Calc_R!H95</f>
        <v>224000</v>
      </c>
      <c r="D59" s="11" t="n">
        <f aca="false">Calc_O!H95</f>
        <v>288000</v>
      </c>
    </row>
    <row r="60" customFormat="false" ht="15" hidden="false" customHeight="false" outlineLevel="0" collapsed="false">
      <c r="A60" s="0" t="s">
        <v>78</v>
      </c>
      <c r="B60" s="11" t="n">
        <f aca="false">Calc_P!H96</f>
        <v>72000</v>
      </c>
      <c r="C60" s="11" t="n">
        <f aca="false">Calc_R!H96</f>
        <v>90000</v>
      </c>
      <c r="D60" s="11" t="n">
        <f aca="false">Calc_O!H96</f>
        <v>108000</v>
      </c>
    </row>
    <row r="61" customFormat="false" ht="15" hidden="false" customHeight="false" outlineLevel="0" collapsed="false">
      <c r="A61" s="0" t="s">
        <v>79</v>
      </c>
      <c r="B61" s="11" t="n">
        <f aca="false">Calc_P!H97</f>
        <v>5000</v>
      </c>
      <c r="C61" s="11" t="n">
        <f aca="false">Calc_R!H97</f>
        <v>15000</v>
      </c>
      <c r="D61" s="11" t="n">
        <f aca="false">Calc_O!H97</f>
        <v>30000</v>
      </c>
    </row>
    <row r="62" customFormat="false" ht="15" hidden="false" customHeight="false" outlineLevel="0" collapsed="false">
      <c r="A62" s="0" t="s">
        <v>80</v>
      </c>
      <c r="B62" s="11" t="n">
        <f aca="false">Calc_P!H98</f>
        <v>0</v>
      </c>
      <c r="C62" s="11" t="n">
        <f aca="false">Calc_R!H98</f>
        <v>90000</v>
      </c>
      <c r="D62" s="11" t="n">
        <f aca="false">Calc_O!H98</f>
        <v>120000</v>
      </c>
    </row>
    <row r="63" customFormat="false" ht="15" hidden="false" customHeight="false" outlineLevel="0" collapsed="false">
      <c r="A63" s="9" t="s">
        <v>81</v>
      </c>
      <c r="B63" s="13" t="n">
        <f aca="false">Calc_P!H99</f>
        <v>265000</v>
      </c>
      <c r="C63" s="13" t="n">
        <f aca="false">Calc_R!H99</f>
        <v>567500</v>
      </c>
      <c r="D63" s="13" t="n">
        <f aca="false">Calc_O!H99</f>
        <v>735000</v>
      </c>
    </row>
    <row r="64" customFormat="false" ht="15" hidden="false" customHeight="false" outlineLevel="0" collapsed="false">
      <c r="A64" s="6" t="s">
        <v>82</v>
      </c>
      <c r="B64" s="7"/>
      <c r="C64" s="7"/>
      <c r="D64" s="7"/>
    </row>
    <row r="65" customFormat="false" ht="15" hidden="false" customHeight="false" outlineLevel="0" collapsed="false">
      <c r="A65" s="9" t="s">
        <v>83</v>
      </c>
      <c r="B65" s="13" t="n">
        <f aca="false">Calc_P!H106</f>
        <v>6240548.9701623</v>
      </c>
      <c r="C65" s="13" t="n">
        <f aca="false">Calc_R!H106</f>
        <v>19976878.7208391</v>
      </c>
      <c r="D65" s="13" t="n">
        <f aca="false">Calc_O!H106</f>
        <v>39318001.5682735</v>
      </c>
    </row>
    <row r="66" customFormat="false" ht="15" hidden="false" customHeight="false" outlineLevel="0" collapsed="false">
      <c r="A66" s="0" t="s">
        <v>84</v>
      </c>
      <c r="B66" s="11" t="n">
        <f aca="false">Calc_P!H107</f>
        <v>4842916.97342845</v>
      </c>
      <c r="C66" s="11" t="n">
        <f aca="false">Calc_R!H107</f>
        <v>10326827.4482307</v>
      </c>
      <c r="D66" s="11" t="n">
        <f aca="false">Calc_O!H107</f>
        <v>12599660.7652045</v>
      </c>
    </row>
    <row r="67" customFormat="false" ht="15" hidden="false" customHeight="false" outlineLevel="0" collapsed="false">
      <c r="A67" s="0" t="s">
        <v>85</v>
      </c>
      <c r="B67" s="11" t="n">
        <f aca="false">Calc_P!H108</f>
        <v>1397631.99673385</v>
      </c>
      <c r="C67" s="11" t="n">
        <f aca="false">Calc_R!H108</f>
        <v>9650051.27260839</v>
      </c>
      <c r="D67" s="11" t="n">
        <f aca="false">Calc_O!H108</f>
        <v>26718340.803069</v>
      </c>
    </row>
    <row r="68" customFormat="false" ht="15" hidden="false" customHeight="false" outlineLevel="0" collapsed="false">
      <c r="A68" s="0" t="s">
        <v>86</v>
      </c>
      <c r="B68" s="12" t="n">
        <f aca="false">Calc_P!H109</f>
        <v>0.223959783572935</v>
      </c>
      <c r="C68" s="12" t="n">
        <f aca="false">Calc_R!H109</f>
        <v>0.483061013057153</v>
      </c>
      <c r="D68" s="12" t="n">
        <f aca="false">Calc_O!H109</f>
        <v>0.679544731099166</v>
      </c>
    </row>
    <row r="69" customFormat="false" ht="15" hidden="false" customHeight="false" outlineLevel="0" collapsed="false">
      <c r="A69" s="0" t="s">
        <v>87</v>
      </c>
      <c r="B69" s="11" t="n">
        <f aca="false">Calc_P!H76</f>
        <v>3903.88009543903</v>
      </c>
      <c r="C69" s="11" t="n">
        <f aca="false">Calc_R!H76</f>
        <v>5650734.52222141</v>
      </c>
      <c r="D69" s="11" t="n">
        <f aca="false">Calc_O!H76</f>
        <v>12118249.6693715</v>
      </c>
    </row>
    <row r="70" customFormat="false" ht="15" hidden="false" customHeight="false" outlineLevel="0" collapsed="false">
      <c r="A70" s="0" t="s">
        <v>88</v>
      </c>
      <c r="B70" s="11" t="n">
        <f aca="false">Calc_P!H77</f>
        <v>-1171.16402863171</v>
      </c>
      <c r="C70" s="11" t="n">
        <f aca="false">Calc_R!H77</f>
        <v>-1412683.63055535</v>
      </c>
      <c r="D70" s="11" t="n">
        <f aca="false">Calc_O!H77</f>
        <v>-2423649.9338743</v>
      </c>
    </row>
    <row r="71" customFormat="false" ht="15" hidden="false" customHeight="false" outlineLevel="0" collapsed="false">
      <c r="A71" s="0" t="s">
        <v>89</v>
      </c>
      <c r="B71" s="11" t="n">
        <f aca="false">Calc_P!H78</f>
        <v>2732.71606680732</v>
      </c>
      <c r="C71" s="11" t="n">
        <f aca="false">Calc_R!H78</f>
        <v>4238050.89166606</v>
      </c>
      <c r="D71" s="11" t="n">
        <f aca="false">Calc_O!H78</f>
        <v>9694599.73549721</v>
      </c>
    </row>
    <row r="72" customFormat="false" ht="15" hidden="false" customHeight="false" outlineLevel="0" collapsed="false">
      <c r="A72" s="0" t="s">
        <v>90</v>
      </c>
      <c r="B72" s="11" t="n">
        <f aca="false">Calc_P!H92</f>
        <v>-98432.0474398901</v>
      </c>
      <c r="C72" s="11" t="n">
        <f aca="false">Calc_R!H92</f>
        <v>3874474.9844597</v>
      </c>
      <c r="D72" s="11" t="n">
        <f aca="false">Calc_O!H92</f>
        <v>11793984.1384118</v>
      </c>
    </row>
    <row r="73" customFormat="false" ht="15" hidden="false" customHeight="false" outlineLevel="0" collapsed="false">
      <c r="A73" s="0" t="s">
        <v>91</v>
      </c>
      <c r="B73" s="11" t="n">
        <f aca="false">Calc_P!H104</f>
        <v>50221.1640286317</v>
      </c>
      <c r="C73" s="11" t="n">
        <f aca="false">Calc_R!H104</f>
        <v>1767158.63055535</v>
      </c>
      <c r="D73" s="11" t="n">
        <f aca="false">Calc_O!H104</f>
        <v>2952599.9338743</v>
      </c>
    </row>
    <row r="74" customFormat="false" ht="15" hidden="false" customHeight="false" outlineLevel="0" collapsed="false">
      <c r="A74" s="9" t="s">
        <v>92</v>
      </c>
      <c r="B74" s="13" t="n">
        <f aca="false">Calc_P!H110</f>
        <v>-45478.1673444511</v>
      </c>
      <c r="C74" s="13" t="n">
        <f aca="false">Calc_R!H110</f>
        <v>9879684.50668111</v>
      </c>
      <c r="D74" s="13" t="n">
        <f aca="false">Calc_O!H110</f>
        <v>24441183.8077833</v>
      </c>
    </row>
    <row r="75" customFormat="false" ht="15" hidden="false" customHeight="false" outlineLevel="0" collapsed="false">
      <c r="A75" s="0" t="s">
        <v>93</v>
      </c>
      <c r="B75" s="12" t="n">
        <f aca="false">Calc_P!H111</f>
        <v>-0.00728752671630239</v>
      </c>
      <c r="C75" s="12" t="n">
        <f aca="false">Calc_R!H111</f>
        <v>0.494555963658879</v>
      </c>
      <c r="D75" s="12" t="n">
        <f aca="false">Calc_O!H111</f>
        <v>0.621628333915766</v>
      </c>
    </row>
    <row r="76" customFormat="false" ht="15" hidden="false" customHeight="false" outlineLevel="0" collapsed="false">
      <c r="A76" s="0" t="s">
        <v>94</v>
      </c>
      <c r="B76" s="11" t="n">
        <f aca="false">Calc_P!H23</f>
        <v>2152.95583604339</v>
      </c>
      <c r="C76" s="11" t="n">
        <f aca="false">Calc_R!H23</f>
        <v>124984.904034362</v>
      </c>
      <c r="D76" s="11" t="n">
        <f aca="false">Calc_O!H23</f>
        <v>933313.805206552</v>
      </c>
    </row>
    <row r="77" customFormat="false" ht="15" hidden="false" customHeight="false" outlineLevel="0" collapsed="false">
      <c r="A77" s="6" t="s">
        <v>95</v>
      </c>
      <c r="B77" s="7"/>
      <c r="C77" s="7"/>
      <c r="D77" s="7"/>
    </row>
    <row r="78" customFormat="false" ht="15" hidden="false" customHeight="false" outlineLevel="0" collapsed="false">
      <c r="A78" s="0" t="s">
        <v>96</v>
      </c>
      <c r="B78" s="11" t="n">
        <f aca="false">Calc_P!C115</f>
        <v>-8600000</v>
      </c>
      <c r="C78" s="11" t="n">
        <f aca="false">Calc_R!C115</f>
        <v>-6400000</v>
      </c>
      <c r="D78" s="11" t="n">
        <f aca="false">Calc_O!C115</f>
        <v>-5200000</v>
      </c>
    </row>
    <row r="79" customFormat="false" ht="15" hidden="false" customHeight="false" outlineLevel="0" collapsed="false">
      <c r="A79" s="0" t="s">
        <v>97</v>
      </c>
      <c r="B79" s="11" t="n">
        <f aca="false">Calc_P!C116</f>
        <v>138000</v>
      </c>
      <c r="C79" s="11" t="n">
        <f aca="false">Calc_R!C116</f>
        <v>838000</v>
      </c>
      <c r="D79" s="11" t="n">
        <f aca="false">Calc_O!C116</f>
        <v>1000000</v>
      </c>
    </row>
    <row r="80" customFormat="false" ht="15" hidden="false" customHeight="false" outlineLevel="0" collapsed="false">
      <c r="A80" s="0" t="s">
        <v>98</v>
      </c>
      <c r="B80" s="11" t="n">
        <f aca="false">Calc_P!C117</f>
        <v>-250000</v>
      </c>
      <c r="C80" s="11" t="n">
        <f aca="false">Calc_R!C117</f>
        <v>-250000</v>
      </c>
      <c r="D80" s="11" t="n">
        <f aca="false">Calc_O!C117</f>
        <v>-250000</v>
      </c>
    </row>
    <row r="81" customFormat="false" ht="15" hidden="false" customHeight="false" outlineLevel="0" collapsed="false">
      <c r="A81" s="0" t="s">
        <v>99</v>
      </c>
      <c r="B81" s="11" t="n">
        <f aca="false">Calc_P!C118</f>
        <v>-4000000</v>
      </c>
      <c r="C81" s="11" t="n">
        <f aca="false">Calc_R!C118</f>
        <v>-3000000</v>
      </c>
      <c r="D81" s="11" t="n">
        <f aca="false">Calc_O!C118</f>
        <v>-2000000</v>
      </c>
    </row>
    <row r="82" customFormat="false" ht="15" hidden="false" customHeight="false" outlineLevel="0" collapsed="false">
      <c r="A82" s="0" t="s">
        <v>100</v>
      </c>
      <c r="B82" s="11" t="n">
        <f aca="false">Calc_P!C134</f>
        <v>12712000</v>
      </c>
      <c r="C82" s="11" t="n">
        <f aca="false">Calc_R!C134</f>
        <v>8812000</v>
      </c>
      <c r="D82" s="11" t="n">
        <f aca="false">Calc_O!C134</f>
        <v>6450000</v>
      </c>
    </row>
    <row r="83" customFormat="false" ht="15" hidden="false" customHeight="false" outlineLevel="0" collapsed="false">
      <c r="A83" s="9" t="s">
        <v>101</v>
      </c>
      <c r="B83" s="14" t="str">
        <f aca="false">Calc_P!C127</f>
        <v>n/a</v>
      </c>
      <c r="C83" s="14" t="n">
        <f aca="false">Calc_R!C127</f>
        <v>0.606225356438866</v>
      </c>
      <c r="D83" s="14" t="n">
        <f aca="false">Calc_O!C127</f>
        <v>1.86182672726029</v>
      </c>
    </row>
    <row r="84" customFormat="false" ht="15" hidden="false" customHeight="false" outlineLevel="0" collapsed="false">
      <c r="A84" s="0" t="s">
        <v>102</v>
      </c>
      <c r="B84" s="12" t="str">
        <f aca="false">Calc_P!C128</f>
        <v>n/a</v>
      </c>
      <c r="C84" s="12" t="n">
        <f aca="false">Calc_R!C128</f>
        <v>0.734804109952816</v>
      </c>
      <c r="D84" s="12" t="n">
        <f aca="false">Calc_O!C128</f>
        <v>1.88892344374369</v>
      </c>
    </row>
    <row r="85" customFormat="false" ht="15" hidden="false" customHeight="false" outlineLevel="0" collapsed="false">
      <c r="A85" s="9" t="s">
        <v>103</v>
      </c>
      <c r="B85" s="13" t="n">
        <f aca="false">Calc_P!C129</f>
        <v>-15772830.2734902</v>
      </c>
      <c r="C85" s="13" t="n">
        <f aca="false">Calc_R!C129</f>
        <v>21268407.6670084</v>
      </c>
      <c r="D85" s="13" t="n">
        <f aca="false">Calc_O!C129</f>
        <v>67721140.7808564</v>
      </c>
    </row>
    <row r="86" customFormat="false" ht="15" hidden="false" customHeight="false" outlineLevel="0" collapsed="false">
      <c r="A86" s="0" t="s">
        <v>104</v>
      </c>
      <c r="B86" s="11" t="n">
        <f aca="false">Calc_P!C130</f>
        <v>-15281659.8990215</v>
      </c>
      <c r="C86" s="11" t="n">
        <f aca="false">Calc_R!C130</f>
        <v>53765724.529551</v>
      </c>
      <c r="D86" s="11" t="n">
        <f aca="false">Calc_O!C130</f>
        <v>134473792.724553</v>
      </c>
    </row>
    <row r="87" customFormat="false" ht="15" hidden="false" customHeight="false" outlineLevel="0" collapsed="false">
      <c r="A87" s="0" t="s">
        <v>105</v>
      </c>
      <c r="B87" s="12" t="n">
        <f aca="false">Calc_P!C131</f>
        <v>-1.31169163148669</v>
      </c>
      <c r="C87" s="12" t="n">
        <f aca="false">Calc_R!C131</f>
        <v>5.39330998798203</v>
      </c>
      <c r="D87" s="12" t="n">
        <f aca="false">Calc_O!C131</f>
        <v>19.9430371650578</v>
      </c>
    </row>
    <row r="88" customFormat="false" ht="15" hidden="false" customHeight="false" outlineLevel="0" collapsed="false">
      <c r="A88" s="0" t="s">
        <v>106</v>
      </c>
      <c r="B88" s="12" t="n">
        <f aca="false">Calc_P!C132</f>
        <v>-1.20891292154457</v>
      </c>
      <c r="C88" s="12" t="n">
        <f aca="false">Calc_R!C132</f>
        <v>15.2030590706256</v>
      </c>
      <c r="D88" s="12" t="n">
        <f aca="false">Calc_O!C132</f>
        <v>47.4722435595141</v>
      </c>
    </row>
    <row r="89" customFormat="false" ht="15" hidden="false" customHeight="false" outlineLevel="0" collapsed="false">
      <c r="A89" s="0" t="s">
        <v>107</v>
      </c>
      <c r="B89" s="8" t="str">
        <f aca="false">Calc_P!C133</f>
        <v>beyond Y7</v>
      </c>
      <c r="C89" s="8" t="n">
        <f aca="false">Calc_R!C133</f>
        <v>3</v>
      </c>
      <c r="D89" s="8" t="n">
        <f aca="false">Calc_O!C133</f>
        <v>1</v>
      </c>
    </row>
    <row r="91" customFormat="false" ht="15" hidden="false" customHeight="false" outlineLevel="0" collapsed="false">
      <c r="A91" s="9" t="s">
        <v>108</v>
      </c>
    </row>
    <row r="92" customFormat="false" ht="15" hidden="false" customHeight="false" outlineLevel="0" collapsed="false">
      <c r="A92" s="5" t="s">
        <v>109</v>
      </c>
      <c r="B92" s="5" t="s">
        <v>110</v>
      </c>
      <c r="C92" s="5" t="s">
        <v>111</v>
      </c>
      <c r="D92" s="5" t="s">
        <v>112</v>
      </c>
      <c r="E92" s="5" t="s">
        <v>113</v>
      </c>
      <c r="F92" s="5" t="s">
        <v>114</v>
      </c>
      <c r="G92" s="5" t="s">
        <v>115</v>
      </c>
      <c r="H92" s="5" t="s">
        <v>116</v>
      </c>
    </row>
    <row r="93" customFormat="false" ht="15" hidden="false" customHeight="false" outlineLevel="0" collapsed="false">
      <c r="A93" s="0" t="s">
        <v>117</v>
      </c>
      <c r="B93" s="8" t="n">
        <f aca="false">Calc_P!D12</f>
        <v>2997.47515730785</v>
      </c>
      <c r="C93" s="8" t="n">
        <f aca="false">Calc_P!E12</f>
        <v>4191.61538184064</v>
      </c>
      <c r="D93" s="8" t="n">
        <f aca="false">Calc_P!F12</f>
        <v>5271.35498098643</v>
      </c>
      <c r="E93" s="8" t="n">
        <f aca="false">Calc_P!G12</f>
        <v>6168.79843510462</v>
      </c>
      <c r="F93" s="8" t="n">
        <f aca="false">Calc_P!H12</f>
        <v>6815.35122330722</v>
      </c>
      <c r="G93" s="8" t="n">
        <f aca="false">Calc_P!I12</f>
        <v>7077.09921673468</v>
      </c>
      <c r="H93" s="8" t="n">
        <f aca="false">Calc_P!J12</f>
        <v>7271.33080526387</v>
      </c>
    </row>
    <row r="94" customFormat="false" ht="15" hidden="false" customHeight="false" outlineLevel="0" collapsed="false">
      <c r="A94" s="0" t="s">
        <v>118</v>
      </c>
      <c r="B94" s="8" t="n">
        <f aca="false">Calc_P!D15</f>
        <v>1097.91437060683</v>
      </c>
      <c r="C94" s="8" t="n">
        <f aca="false">Calc_P!E15</f>
        <v>1369.34196929379</v>
      </c>
      <c r="D94" s="8" t="n">
        <f aca="false">Calc_P!F15</f>
        <v>1711.82696517517</v>
      </c>
      <c r="E94" s="8" t="n">
        <f aca="false">Calc_P!G15</f>
        <v>2101.68414873355</v>
      </c>
      <c r="F94" s="8" t="n">
        <f aca="false">Calc_P!H15</f>
        <v>2511.35829691754</v>
      </c>
      <c r="G94" s="8" t="n">
        <f aca="false">Calc_P!I15</f>
        <v>2903.87048678937</v>
      </c>
      <c r="H94" s="8" t="n">
        <f aca="false">Calc_P!J15</f>
        <v>3274.79643218757</v>
      </c>
    </row>
    <row r="95" customFormat="false" ht="15" hidden="false" customHeight="false" outlineLevel="0" collapsed="false">
      <c r="A95" s="0" t="s">
        <v>119</v>
      </c>
      <c r="B95" s="11" t="n">
        <f aca="false">Calc_P!D106</f>
        <v>3767211.34771885</v>
      </c>
      <c r="C95" s="11" t="n">
        <f aca="false">Calc_P!E106</f>
        <v>4929323.50383625</v>
      </c>
      <c r="D95" s="11" t="n">
        <f aca="false">Calc_P!F106</f>
        <v>5558989.77523476</v>
      </c>
      <c r="E95" s="11" t="n">
        <f aca="false">Calc_P!G106</f>
        <v>5944990.58969233</v>
      </c>
      <c r="F95" s="11" t="n">
        <f aca="false">Calc_P!H106</f>
        <v>6240548.9701623</v>
      </c>
      <c r="G95" s="11" t="n">
        <f aca="false">Calc_P!I106</f>
        <v>6418269.09414164</v>
      </c>
      <c r="H95" s="11" t="n">
        <f aca="false">Calc_P!J106</f>
        <v>6577605.4796891</v>
      </c>
    </row>
    <row r="96" customFormat="false" ht="15" hidden="false" customHeight="false" outlineLevel="0" collapsed="false">
      <c r="A96" s="0" t="s">
        <v>120</v>
      </c>
      <c r="B96" s="11" t="n">
        <f aca="false">Calc_P!D110</f>
        <v>-1853389.09286429</v>
      </c>
      <c r="C96" s="11" t="n">
        <f aca="false">Calc_P!E110</f>
        <v>-965259.138709822</v>
      </c>
      <c r="D96" s="11" t="n">
        <f aca="false">Calc_P!F110</f>
        <v>-499500.402943637</v>
      </c>
      <c r="E96" s="11" t="n">
        <f aca="false">Calc_P!G110</f>
        <v>-241470.445221628</v>
      </c>
      <c r="F96" s="11" t="n">
        <f aca="false">Calc_P!H110</f>
        <v>-45478.1673444511</v>
      </c>
      <c r="G96" s="11" t="n">
        <f aca="false">Calc_P!I110</f>
        <v>75720.4199761529</v>
      </c>
      <c r="H96" s="11" t="n">
        <f aca="false">Calc_P!J110</f>
        <v>186646.137254878</v>
      </c>
    </row>
    <row r="97" customFormat="false" ht="15" hidden="false" customHeight="false" outlineLevel="0" collapsed="false">
      <c r="A97" s="0" t="s">
        <v>121</v>
      </c>
      <c r="B97" s="11" t="n">
        <f aca="false">Calc_P!D122</f>
        <v>-14565389.0928643</v>
      </c>
      <c r="C97" s="11" t="n">
        <f aca="false">Calc_P!E122</f>
        <v>-15617242.2025468</v>
      </c>
      <c r="D97" s="11" t="n">
        <f aca="false">Calc_P!F122</f>
        <v>-16214601.197101</v>
      </c>
      <c r="E97" s="11" t="n">
        <f aca="false">Calc_P!G122</f>
        <v>-16560137.760293</v>
      </c>
      <c r="F97" s="11" t="n">
        <f aca="false">Calc_P!H122</f>
        <v>-16714003.841392</v>
      </c>
      <c r="G97" s="11" t="n">
        <f aca="false">Calc_P!I122</f>
        <v>-16748702.9473582</v>
      </c>
      <c r="H97" s="11" t="n">
        <f aca="false">Calc_P!J122</f>
        <v>-16674224.0194587</v>
      </c>
    </row>
    <row r="98" customFormat="false" ht="15" hidden="false" customHeight="false" outlineLevel="0" collapsed="false">
      <c r="A98" s="0" t="s">
        <v>122</v>
      </c>
      <c r="B98" s="8" t="n">
        <f aca="false">Calc_R!D12</f>
        <v>11876.712</v>
      </c>
      <c r="C98" s="8" t="n">
        <f aca="false">Calc_R!E12</f>
        <v>16225.3423395074</v>
      </c>
      <c r="D98" s="8" t="n">
        <f aca="false">Calc_R!F12</f>
        <v>20334.3564787872</v>
      </c>
      <c r="E98" s="8" t="n">
        <f aca="false">Calc_R!G12</f>
        <v>24340.4822206316</v>
      </c>
      <c r="F98" s="8" t="n">
        <f aca="false">Calc_R!H12</f>
        <v>27810.866477418</v>
      </c>
      <c r="G98" s="8" t="n">
        <f aca="false">Calc_R!I12</f>
        <v>30664.9137480316</v>
      </c>
      <c r="H98" s="8" t="n">
        <f aca="false">Calc_R!J12</f>
        <v>33411.4731475567</v>
      </c>
    </row>
    <row r="99" customFormat="false" ht="15" hidden="false" customHeight="false" outlineLevel="0" collapsed="false">
      <c r="A99" s="0" t="s">
        <v>123</v>
      </c>
      <c r="B99" s="8" t="n">
        <f aca="false">Calc_R!D15</f>
        <v>6204.317441808</v>
      </c>
      <c r="C99" s="8" t="n">
        <f aca="false">Calc_R!E15</f>
        <v>8793.81007402131</v>
      </c>
      <c r="D99" s="8" t="n">
        <f aca="false">Calc_R!F15</f>
        <v>11937.2561462436</v>
      </c>
      <c r="E99" s="8" t="n">
        <f aca="false">Calc_R!G15</f>
        <v>15558.9054912556</v>
      </c>
      <c r="F99" s="8" t="n">
        <f aca="false">Calc_R!H15</f>
        <v>19504.9499008236</v>
      </c>
      <c r="G99" s="8" t="n">
        <f aca="false">Calc_R!I15</f>
        <v>23621.0174571693</v>
      </c>
      <c r="H99" s="8" t="n">
        <f aca="false">Calc_R!J15</f>
        <v>27868.8410901261</v>
      </c>
    </row>
    <row r="100" customFormat="false" ht="15" hidden="false" customHeight="false" outlineLevel="0" collapsed="false">
      <c r="A100" s="0" t="s">
        <v>124</v>
      </c>
      <c r="B100" s="11" t="n">
        <f aca="false">Calc_R!D106</f>
        <v>10293877.9169808</v>
      </c>
      <c r="C100" s="11" t="n">
        <f aca="false">Calc_R!E106</f>
        <v>14319810.4909116</v>
      </c>
      <c r="D100" s="11" t="n">
        <f aca="false">Calc_R!F106</f>
        <v>16381151.3389909</v>
      </c>
      <c r="E100" s="11" t="n">
        <f aca="false">Calc_R!G106</f>
        <v>18184340.4525054</v>
      </c>
      <c r="F100" s="11" t="n">
        <f aca="false">Calc_R!H106</f>
        <v>19976878.7208391</v>
      </c>
      <c r="G100" s="11" t="n">
        <f aca="false">Calc_R!I106</f>
        <v>21694540.6315555</v>
      </c>
      <c r="H100" s="11" t="n">
        <f aca="false">Calc_R!J106</f>
        <v>23434940.5898833</v>
      </c>
    </row>
    <row r="101" customFormat="false" ht="15" hidden="false" customHeight="false" outlineLevel="0" collapsed="false">
      <c r="A101" s="0" t="s">
        <v>125</v>
      </c>
      <c r="B101" s="11" t="n">
        <f aca="false">Calc_R!D110</f>
        <v>2689148.51269064</v>
      </c>
      <c r="C101" s="11" t="n">
        <f aca="false">Calc_R!E110</f>
        <v>5877124.820095</v>
      </c>
      <c r="D101" s="11" t="n">
        <f aca="false">Calc_R!F110</f>
        <v>7369770.19326493</v>
      </c>
      <c r="E101" s="11" t="n">
        <f aca="false">Calc_R!G110</f>
        <v>8618801.75629828</v>
      </c>
      <c r="F101" s="11" t="n">
        <f aca="false">Calc_R!H110</f>
        <v>9879684.50668111</v>
      </c>
      <c r="G101" s="11" t="n">
        <f aca="false">Calc_R!I110</f>
        <v>11103599.2527581</v>
      </c>
      <c r="H101" s="11" t="n">
        <f aca="false">Calc_R!J110</f>
        <v>12349072.7023222</v>
      </c>
    </row>
    <row r="102" customFormat="false" ht="15" hidden="false" customHeight="false" outlineLevel="0" collapsed="false">
      <c r="A102" s="0" t="s">
        <v>126</v>
      </c>
      <c r="B102" s="11" t="n">
        <f aca="false">Calc_R!D122</f>
        <v>-6122851.48730936</v>
      </c>
      <c r="C102" s="11" t="n">
        <f aca="false">Calc_R!E122</f>
        <v>-462254.633963042</v>
      </c>
      <c r="D102" s="11" t="n">
        <f aca="false">Calc_R!F122</f>
        <v>6668457.99519163</v>
      </c>
      <c r="E102" s="11" t="n">
        <f aca="false">Calc_R!G122</f>
        <v>15032464.1877284</v>
      </c>
      <c r="F102" s="11" t="n">
        <f aca="false">Calc_R!H122</f>
        <v>24643648.7503211</v>
      </c>
      <c r="G102" s="11" t="n">
        <f aca="false">Calc_R!I122</f>
        <v>35467495.426723</v>
      </c>
      <c r="H102" s="11" t="n">
        <f aca="false">Calc_R!J122</f>
        <v>47525847.6140976</v>
      </c>
    </row>
    <row r="103" customFormat="false" ht="15" hidden="false" customHeight="false" outlineLevel="0" collapsed="false">
      <c r="A103" s="0" t="s">
        <v>127</v>
      </c>
      <c r="B103" s="8" t="n">
        <f aca="false">Calc_O!D12</f>
        <v>26214.9</v>
      </c>
      <c r="C103" s="8" t="n">
        <f aca="false">Calc_O!E12</f>
        <v>38374.4997664</v>
      </c>
      <c r="D103" s="8" t="n">
        <f aca="false">Calc_O!F12</f>
        <v>50476.3253786057</v>
      </c>
      <c r="E103" s="8" t="n">
        <f aca="false">Calc_O!G12</f>
        <v>62370.3972858872</v>
      </c>
      <c r="F103" s="8" t="n">
        <f aca="false">Calc_O!H12</f>
        <v>73894.0272703041</v>
      </c>
      <c r="G103" s="8" t="n">
        <f aca="false">Calc_O!I12</f>
        <v>84870.7415650806</v>
      </c>
      <c r="H103" s="8" t="n">
        <f aca="false">Calc_O!J12</f>
        <v>85972.68</v>
      </c>
    </row>
    <row r="104" customFormat="false" ht="15" hidden="false" customHeight="false" outlineLevel="0" collapsed="false">
      <c r="A104" s="0" t="s">
        <v>128</v>
      </c>
      <c r="B104" s="8" t="n">
        <f aca="false">Calc_O!D15</f>
        <v>15354.541472</v>
      </c>
      <c r="C104" s="8" t="n">
        <f aca="false">Calc_O!E15</f>
        <v>19394.2294821714</v>
      </c>
      <c r="D104" s="8" t="n">
        <f aca="false">Calc_O!F15</f>
        <v>24772.0810715727</v>
      </c>
      <c r="E104" s="8" t="n">
        <f aca="false">Calc_O!G15</f>
        <v>31352.5227252535</v>
      </c>
      <c r="F104" s="8" t="n">
        <f aca="false">Calc_O!H15</f>
        <v>38988.4929709005</v>
      </c>
      <c r="G104" s="8" t="n">
        <f aca="false">Calc_O!I15</f>
        <v>39000</v>
      </c>
      <c r="H104" s="8" t="n">
        <f aca="false">Calc_O!J15</f>
        <v>39000</v>
      </c>
    </row>
    <row r="105" customFormat="false" ht="15" hidden="false" customHeight="false" outlineLevel="0" collapsed="false">
      <c r="A105" s="0" t="s">
        <v>129</v>
      </c>
      <c r="B105" s="11" t="n">
        <f aca="false">Calc_O!D106</f>
        <v>19927665.5349091</v>
      </c>
      <c r="C105" s="11" t="n">
        <f aca="false">Calc_O!E106</f>
        <v>25605664.4017247</v>
      </c>
      <c r="D105" s="11" t="n">
        <f aca="false">Calc_O!F106</f>
        <v>29814341.0872147</v>
      </c>
      <c r="E105" s="11" t="n">
        <f aca="false">Calc_O!G106</f>
        <v>34283007.1650143</v>
      </c>
      <c r="F105" s="11" t="n">
        <f aca="false">Calc_O!H106</f>
        <v>39318001.5682735</v>
      </c>
      <c r="G105" s="11" t="n">
        <f aca="false">Calc_O!I106</f>
        <v>40827843.9581124</v>
      </c>
      <c r="H105" s="11" t="n">
        <f aca="false">Calc_O!J106</f>
        <v>40978543.1541247</v>
      </c>
    </row>
    <row r="106" customFormat="false" ht="15" hidden="false" customHeight="false" outlineLevel="0" collapsed="false">
      <c r="A106" s="0" t="s">
        <v>130</v>
      </c>
      <c r="B106" s="11" t="n">
        <f aca="false">Calc_O!D110</f>
        <v>10072750.0286771</v>
      </c>
      <c r="C106" s="11" t="n">
        <f aca="false">Calc_O!E110</f>
        <v>14377647.5252654</v>
      </c>
      <c r="D106" s="11" t="n">
        <f aca="false">Calc_O!F110</f>
        <v>17435376.4272248</v>
      </c>
      <c r="E106" s="11" t="n">
        <f aca="false">Calc_O!G110</f>
        <v>20687988.3370901</v>
      </c>
      <c r="F106" s="11" t="n">
        <f aca="false">Calc_O!H110</f>
        <v>24441183.8077833</v>
      </c>
      <c r="G106" s="11" t="n">
        <f aca="false">Calc_O!I110</f>
        <v>25282495.2815918</v>
      </c>
      <c r="H106" s="11" t="n">
        <f aca="false">Calc_O!J110</f>
        <v>25366197.3206061</v>
      </c>
    </row>
    <row r="107" customFormat="false" ht="15" hidden="false" customHeight="false" outlineLevel="0" collapsed="false">
      <c r="A107" s="0" t="s">
        <v>131</v>
      </c>
      <c r="B107" s="11" t="n">
        <f aca="false">Calc_O!D122</f>
        <v>3622750.02867707</v>
      </c>
      <c r="C107" s="11" t="n">
        <f aca="false">Calc_O!E122</f>
        <v>17664095.4106418</v>
      </c>
      <c r="D107" s="11" t="n">
        <f aca="false">Calc_O!F122</f>
        <v>34723016.6495662</v>
      </c>
      <c r="E107" s="11" t="n">
        <f aca="false">Calc_O!G122</f>
        <v>54993345.3097049</v>
      </c>
      <c r="F107" s="11" t="n">
        <f aca="false">Calc_O!H122</f>
        <v>78972064.8546698</v>
      </c>
      <c r="G107" s="11" t="n">
        <f aca="false">Calc_O!I122</f>
        <v>103761983.257099</v>
      </c>
      <c r="H107" s="11" t="n">
        <f aca="false">Calc_O!J122</f>
        <v>128632589.714623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5" min="3" style="0" width="15"/>
    <col collapsed="false" customWidth="true" hidden="false" outlineLevel="0" max="6" min="6" style="0" width="70"/>
  </cols>
  <sheetData>
    <row r="1" customFormat="false" ht="17.35" hidden="false" customHeight="false" outlineLevel="0" collapsed="false">
      <c r="A1" s="4" t="s">
        <v>132</v>
      </c>
    </row>
    <row r="3" customFormat="false" ht="15" hidden="false" customHeight="false" outlineLevel="0" collapsed="false">
      <c r="A3" s="5" t="s">
        <v>133</v>
      </c>
      <c r="B3" s="5" t="s">
        <v>134</v>
      </c>
      <c r="C3" s="5" t="s">
        <v>135</v>
      </c>
      <c r="D3" s="5" t="s">
        <v>136</v>
      </c>
      <c r="E3" s="5" t="s">
        <v>21</v>
      </c>
      <c r="F3" s="5" t="s">
        <v>137</v>
      </c>
    </row>
    <row r="5" customFormat="false" ht="15" hidden="false" customHeight="false" outlineLevel="0" collapsed="false">
      <c r="A5" s="6" t="s">
        <v>138</v>
      </c>
      <c r="B5" s="7"/>
      <c r="C5" s="7"/>
      <c r="D5" s="7"/>
      <c r="E5" s="7"/>
      <c r="F5" s="7"/>
    </row>
    <row r="6" customFormat="false" ht="15" hidden="false" customHeight="false" outlineLevel="0" collapsed="false">
      <c r="A6" s="15" t="s">
        <v>139</v>
      </c>
      <c r="B6" s="15" t="s">
        <v>140</v>
      </c>
      <c r="C6" s="16" t="n">
        <v>100000</v>
      </c>
      <c r="D6" s="16" t="n">
        <v>100000</v>
      </c>
      <c r="E6" s="16" t="n">
        <v>100000</v>
      </c>
      <c r="F6" s="17" t="s">
        <v>141</v>
      </c>
    </row>
    <row r="7" customFormat="false" ht="15" hidden="false" customHeight="false" outlineLevel="0" collapsed="false">
      <c r="A7" s="15" t="s">
        <v>142</v>
      </c>
      <c r="B7" s="15" t="s">
        <v>143</v>
      </c>
      <c r="C7" s="16" t="n">
        <v>1001</v>
      </c>
      <c r="D7" s="16" t="n">
        <v>1001</v>
      </c>
      <c r="E7" s="16" t="n">
        <v>1001</v>
      </c>
      <c r="F7" s="17" t="s">
        <v>144</v>
      </c>
    </row>
    <row r="8" customFormat="false" ht="28.35" hidden="false" customHeight="false" outlineLevel="0" collapsed="false">
      <c r="A8" s="15" t="s">
        <v>145</v>
      </c>
      <c r="B8" s="15" t="s">
        <v>146</v>
      </c>
      <c r="C8" s="18" t="n">
        <v>0.15</v>
      </c>
      <c r="D8" s="18" t="n">
        <v>0.15</v>
      </c>
      <c r="E8" s="18" t="n">
        <v>0.15</v>
      </c>
      <c r="F8" s="17" t="s">
        <v>147</v>
      </c>
    </row>
    <row r="9" customFormat="false" ht="15" hidden="false" customHeight="false" outlineLevel="0" collapsed="false">
      <c r="A9" s="15" t="s">
        <v>148</v>
      </c>
      <c r="B9" s="15" t="s">
        <v>149</v>
      </c>
      <c r="C9" s="19" t="n">
        <v>7</v>
      </c>
      <c r="D9" s="19" t="n">
        <v>7</v>
      </c>
      <c r="E9" s="19" t="n">
        <v>7</v>
      </c>
      <c r="F9" s="17" t="s">
        <v>150</v>
      </c>
    </row>
    <row r="11" customFormat="false" ht="15" hidden="false" customHeight="false" outlineLevel="0" collapsed="false">
      <c r="A11" s="6" t="s">
        <v>151</v>
      </c>
      <c r="B11" s="7"/>
      <c r="C11" s="7"/>
      <c r="D11" s="7"/>
      <c r="E11" s="7"/>
      <c r="F11" s="7"/>
    </row>
    <row r="12" customFormat="false" ht="28.35" hidden="false" customHeight="false" outlineLevel="0" collapsed="false">
      <c r="A12" s="15" t="s">
        <v>152</v>
      </c>
      <c r="B12" s="15" t="s">
        <v>153</v>
      </c>
      <c r="C12" s="16" t="n">
        <v>1038</v>
      </c>
      <c r="D12" s="16" t="n">
        <v>4038</v>
      </c>
      <c r="E12" s="16" t="n">
        <v>6346</v>
      </c>
      <c r="F12" s="17" t="s">
        <v>154</v>
      </c>
    </row>
    <row r="13" customFormat="false" ht="28.35" hidden="false" customHeight="false" outlineLevel="0" collapsed="false">
      <c r="A13" s="15" t="s">
        <v>155</v>
      </c>
      <c r="B13" s="15" t="s">
        <v>153</v>
      </c>
      <c r="C13" s="16" t="n">
        <v>5250</v>
      </c>
      <c r="D13" s="16" t="n">
        <v>15120</v>
      </c>
      <c r="E13" s="16" t="n">
        <v>28875</v>
      </c>
      <c r="F13" s="17" t="s">
        <v>147</v>
      </c>
    </row>
    <row r="14" customFormat="false" ht="28.35" hidden="false" customHeight="false" outlineLevel="0" collapsed="false">
      <c r="A14" s="15" t="s">
        <v>156</v>
      </c>
      <c r="B14" s="15" t="s">
        <v>153</v>
      </c>
      <c r="C14" s="16" t="n">
        <v>180</v>
      </c>
      <c r="D14" s="16" t="n">
        <v>500</v>
      </c>
      <c r="E14" s="16" t="n">
        <v>1050</v>
      </c>
      <c r="F14" s="17" t="s">
        <v>147</v>
      </c>
    </row>
    <row r="15" customFormat="false" ht="15" hidden="false" customHeight="false" outlineLevel="0" collapsed="false">
      <c r="A15" s="15" t="s">
        <v>157</v>
      </c>
      <c r="B15" s="15" t="s">
        <v>158</v>
      </c>
      <c r="C15" s="20" t="n">
        <v>0.165272799681402</v>
      </c>
      <c r="D15" s="20" t="n">
        <v>0.524</v>
      </c>
      <c r="E15" s="20" t="n">
        <v>1.2</v>
      </c>
      <c r="F15" s="17" t="s">
        <v>159</v>
      </c>
    </row>
    <row r="16" customFormat="false" ht="28.35" hidden="false" customHeight="false" outlineLevel="0" collapsed="false">
      <c r="A16" s="15" t="s">
        <v>160</v>
      </c>
      <c r="B16" s="15" t="s">
        <v>161</v>
      </c>
      <c r="C16" s="16" t="n">
        <v>917</v>
      </c>
      <c r="D16" s="16" t="n">
        <v>4283</v>
      </c>
      <c r="E16" s="16" t="n">
        <v>12778</v>
      </c>
      <c r="F16" s="17" t="s">
        <v>162</v>
      </c>
    </row>
    <row r="17" customFormat="false" ht="15" hidden="false" customHeight="false" outlineLevel="0" collapsed="false">
      <c r="A17" s="15" t="s">
        <v>163</v>
      </c>
      <c r="B17" s="15" t="s">
        <v>146</v>
      </c>
      <c r="C17" s="21" t="n">
        <v>0.3</v>
      </c>
      <c r="D17" s="21" t="n">
        <v>0.35</v>
      </c>
      <c r="E17" s="21" t="n">
        <v>0.4</v>
      </c>
      <c r="F17" s="17" t="s">
        <v>164</v>
      </c>
    </row>
    <row r="18" customFormat="false" ht="15" hidden="false" customHeight="false" outlineLevel="0" collapsed="false">
      <c r="A18" s="15" t="s">
        <v>165</v>
      </c>
      <c r="B18" s="15" t="s">
        <v>146</v>
      </c>
      <c r="C18" s="22" t="n">
        <v>0.00583</v>
      </c>
      <c r="D18" s="22" t="n">
        <v>0.01087</v>
      </c>
      <c r="E18" s="22" t="n">
        <v>0.0066</v>
      </c>
      <c r="F18" s="17" t="s">
        <v>166</v>
      </c>
    </row>
    <row r="19" customFormat="false" ht="15" hidden="false" customHeight="false" outlineLevel="0" collapsed="false">
      <c r="A19" s="15" t="s">
        <v>167</v>
      </c>
      <c r="B19" s="15" t="s">
        <v>146</v>
      </c>
      <c r="C19" s="21" t="n">
        <v>0.1</v>
      </c>
      <c r="D19" s="21" t="n">
        <v>0.1</v>
      </c>
      <c r="E19" s="21" t="n">
        <v>0.08</v>
      </c>
      <c r="F19" s="17" t="s">
        <v>168</v>
      </c>
    </row>
    <row r="20" customFormat="false" ht="28.35" hidden="false" customHeight="false" outlineLevel="0" collapsed="false">
      <c r="A20" s="15" t="s">
        <v>169</v>
      </c>
      <c r="B20" s="15" t="s">
        <v>161</v>
      </c>
      <c r="C20" s="16" t="n">
        <v>20000</v>
      </c>
      <c r="D20" s="16" t="n">
        <v>45000</v>
      </c>
      <c r="E20" s="16" t="n">
        <v>39000</v>
      </c>
      <c r="F20" s="17" t="s">
        <v>170</v>
      </c>
    </row>
    <row r="22" customFormat="false" ht="15" hidden="false" customHeight="false" outlineLevel="0" collapsed="false">
      <c r="A22" s="6" t="s">
        <v>171</v>
      </c>
      <c r="B22" s="7"/>
      <c r="C22" s="7"/>
      <c r="D22" s="7"/>
      <c r="E22" s="7"/>
      <c r="F22" s="7"/>
    </row>
    <row r="23" customFormat="false" ht="15" hidden="false" customHeight="false" outlineLevel="0" collapsed="false">
      <c r="A23" s="15" t="s">
        <v>172</v>
      </c>
      <c r="B23" s="15" t="s">
        <v>149</v>
      </c>
      <c r="C23" s="23" t="n">
        <v>0.9</v>
      </c>
      <c r="D23" s="23" t="n">
        <v>1</v>
      </c>
      <c r="E23" s="23" t="n">
        <v>1.1</v>
      </c>
      <c r="F23" s="17" t="s">
        <v>173</v>
      </c>
    </row>
    <row r="24" customFormat="false" ht="15" hidden="false" customHeight="false" outlineLevel="0" collapsed="false">
      <c r="A24" s="15" t="s">
        <v>174</v>
      </c>
      <c r="B24" s="15" t="s">
        <v>175</v>
      </c>
      <c r="C24" s="24" t="n">
        <v>0.3</v>
      </c>
      <c r="D24" s="24" t="n">
        <v>0.5</v>
      </c>
      <c r="E24" s="24" t="n">
        <v>0.55</v>
      </c>
      <c r="F24" s="17" t="s">
        <v>176</v>
      </c>
    </row>
    <row r="25" customFormat="false" ht="15" hidden="false" customHeight="false" outlineLevel="0" collapsed="false">
      <c r="A25" s="15" t="s">
        <v>177</v>
      </c>
      <c r="B25" s="15" t="s">
        <v>175</v>
      </c>
      <c r="C25" s="24" t="n">
        <v>0.1</v>
      </c>
      <c r="D25" s="24" t="n">
        <v>0.3</v>
      </c>
      <c r="E25" s="24" t="n">
        <v>0.35</v>
      </c>
      <c r="F25" s="17" t="s">
        <v>178</v>
      </c>
    </row>
    <row r="26" customFormat="false" ht="15" hidden="false" customHeight="false" outlineLevel="0" collapsed="false">
      <c r="A26" s="15" t="s">
        <v>179</v>
      </c>
      <c r="B26" s="15" t="s">
        <v>149</v>
      </c>
      <c r="C26" s="25" t="n">
        <v>1.6</v>
      </c>
      <c r="D26" s="25" t="n">
        <v>2</v>
      </c>
      <c r="E26" s="25" t="n">
        <v>2.2</v>
      </c>
      <c r="F26" s="17" t="s">
        <v>180</v>
      </c>
    </row>
    <row r="27" customFormat="false" ht="15" hidden="false" customHeight="false" outlineLevel="0" collapsed="false">
      <c r="A27" s="15" t="s">
        <v>181</v>
      </c>
      <c r="B27" s="15" t="s">
        <v>146</v>
      </c>
      <c r="C27" s="18" t="n">
        <v>0.7</v>
      </c>
      <c r="D27" s="18" t="n">
        <v>0.7</v>
      </c>
      <c r="E27" s="18" t="n">
        <v>0.7</v>
      </c>
      <c r="F27" s="17" t="s">
        <v>182</v>
      </c>
    </row>
    <row r="28" customFormat="false" ht="15" hidden="false" customHeight="false" outlineLevel="0" collapsed="false">
      <c r="A28" s="15" t="s">
        <v>183</v>
      </c>
      <c r="B28" s="15" t="s">
        <v>184</v>
      </c>
      <c r="C28" s="18" t="n">
        <v>0.05</v>
      </c>
      <c r="D28" s="18" t="n">
        <v>0.05</v>
      </c>
      <c r="E28" s="18" t="n">
        <v>0.05</v>
      </c>
      <c r="F28" s="17" t="s">
        <v>178</v>
      </c>
    </row>
    <row r="29" customFormat="false" ht="15" hidden="false" customHeight="false" outlineLevel="0" collapsed="false">
      <c r="A29" s="15" t="s">
        <v>185</v>
      </c>
      <c r="B29" s="15" t="s">
        <v>146</v>
      </c>
      <c r="C29" s="21" t="n">
        <v>0.05</v>
      </c>
      <c r="D29" s="21" t="n">
        <v>0.08</v>
      </c>
      <c r="E29" s="21" t="n">
        <v>0.1</v>
      </c>
      <c r="F29" s="17" t="s">
        <v>186</v>
      </c>
    </row>
    <row r="30" customFormat="false" ht="15" hidden="false" customHeight="false" outlineLevel="0" collapsed="false">
      <c r="A30" s="15" t="s">
        <v>187</v>
      </c>
      <c r="B30" s="15" t="s">
        <v>146</v>
      </c>
      <c r="C30" s="21" t="n">
        <v>0.14</v>
      </c>
      <c r="D30" s="21" t="n">
        <v>0.12</v>
      </c>
      <c r="E30" s="21" t="n">
        <v>0.1</v>
      </c>
      <c r="F30" s="17" t="s">
        <v>186</v>
      </c>
    </row>
    <row r="31" customFormat="false" ht="15" hidden="false" customHeight="false" outlineLevel="0" collapsed="false">
      <c r="A31" s="15" t="s">
        <v>188</v>
      </c>
      <c r="B31" s="15" t="s">
        <v>189</v>
      </c>
      <c r="C31" s="26" t="n">
        <v>0</v>
      </c>
      <c r="D31" s="26" t="n">
        <v>0</v>
      </c>
      <c r="E31" s="26" t="n">
        <v>0</v>
      </c>
      <c r="F31" s="17" t="s">
        <v>190</v>
      </c>
    </row>
    <row r="32" customFormat="false" ht="15" hidden="false" customHeight="false" outlineLevel="0" collapsed="false">
      <c r="A32" s="15" t="s">
        <v>191</v>
      </c>
      <c r="B32" s="15" t="s">
        <v>192</v>
      </c>
      <c r="C32" s="27" t="n">
        <v>320</v>
      </c>
      <c r="D32" s="27" t="n">
        <v>430</v>
      </c>
      <c r="E32" s="27" t="n">
        <v>520</v>
      </c>
      <c r="F32" s="17" t="s">
        <v>193</v>
      </c>
    </row>
    <row r="34" customFormat="false" ht="15" hidden="false" customHeight="false" outlineLevel="0" collapsed="false">
      <c r="A34" s="6" t="s">
        <v>194</v>
      </c>
      <c r="B34" s="7"/>
      <c r="C34" s="7"/>
      <c r="D34" s="7"/>
      <c r="E34" s="7"/>
      <c r="F34" s="7"/>
    </row>
    <row r="35" customFormat="false" ht="28.35" hidden="false" customHeight="false" outlineLevel="0" collapsed="false">
      <c r="A35" s="15" t="s">
        <v>195</v>
      </c>
      <c r="B35" s="15" t="s">
        <v>196</v>
      </c>
      <c r="C35" s="20" t="n">
        <v>0.463766172448378</v>
      </c>
      <c r="D35" s="20" t="n">
        <v>0.479542214197668</v>
      </c>
      <c r="E35" s="20" t="n">
        <v>0.509294626941686</v>
      </c>
      <c r="F35" s="17" t="s">
        <v>147</v>
      </c>
    </row>
    <row r="36" customFormat="false" ht="28.35" hidden="false" customHeight="false" outlineLevel="0" collapsed="false">
      <c r="A36" s="15" t="s">
        <v>197</v>
      </c>
      <c r="B36" s="15" t="s">
        <v>196</v>
      </c>
      <c r="C36" s="20" t="n">
        <v>1.21808464570779</v>
      </c>
      <c r="D36" s="20" t="n">
        <v>1.02988931908224</v>
      </c>
      <c r="E36" s="20" t="n">
        <v>0.856540963492835</v>
      </c>
      <c r="F36" s="17" t="s">
        <v>147</v>
      </c>
    </row>
    <row r="37" customFormat="false" ht="28.35" hidden="false" customHeight="false" outlineLevel="0" collapsed="false">
      <c r="A37" s="15" t="s">
        <v>198</v>
      </c>
      <c r="B37" s="15" t="s">
        <v>199</v>
      </c>
      <c r="C37" s="28" t="n">
        <v>2.78773397052967</v>
      </c>
      <c r="D37" s="28" t="n">
        <v>16</v>
      </c>
      <c r="E37" s="28" t="n">
        <v>58.974358974359</v>
      </c>
      <c r="F37" s="17" t="s">
        <v>147</v>
      </c>
    </row>
    <row r="38" customFormat="false" ht="15" hidden="false" customHeight="false" outlineLevel="0" collapsed="false">
      <c r="A38" s="15" t="s">
        <v>200</v>
      </c>
      <c r="B38" s="15" t="s">
        <v>201</v>
      </c>
      <c r="C38" s="26" t="n">
        <v>10</v>
      </c>
      <c r="D38" s="26" t="n">
        <v>75</v>
      </c>
      <c r="E38" s="26" t="n">
        <v>280</v>
      </c>
      <c r="F38" s="17" t="s">
        <v>202</v>
      </c>
    </row>
    <row r="39" customFormat="false" ht="15" hidden="false" customHeight="false" outlineLevel="0" collapsed="false">
      <c r="A39" s="15" t="s">
        <v>203</v>
      </c>
      <c r="B39" s="15" t="s">
        <v>146</v>
      </c>
      <c r="C39" s="21" t="n">
        <v>0.82</v>
      </c>
      <c r="D39" s="21" t="n">
        <v>0.82</v>
      </c>
      <c r="E39" s="21" t="n">
        <v>0.82</v>
      </c>
      <c r="F39" s="17" t="s">
        <v>168</v>
      </c>
    </row>
    <row r="40" customFormat="false" ht="15" hidden="false" customHeight="false" outlineLevel="0" collapsed="false">
      <c r="A40" s="15" t="s">
        <v>204</v>
      </c>
      <c r="B40" s="15" t="s">
        <v>146</v>
      </c>
      <c r="C40" s="21" t="n">
        <v>0.1</v>
      </c>
      <c r="D40" s="21" t="n">
        <v>0.1</v>
      </c>
      <c r="E40" s="21" t="n">
        <v>0.1</v>
      </c>
      <c r="F40" s="17" t="s">
        <v>186</v>
      </c>
    </row>
    <row r="41" customFormat="false" ht="28.35" hidden="false" customHeight="false" outlineLevel="0" collapsed="false">
      <c r="A41" s="15" t="s">
        <v>205</v>
      </c>
      <c r="B41" s="15" t="s">
        <v>196</v>
      </c>
      <c r="C41" s="20" t="n">
        <v>0</v>
      </c>
      <c r="D41" s="20" t="n">
        <v>0.173793822595128</v>
      </c>
      <c r="E41" s="20" t="n">
        <v>0.231497557700766</v>
      </c>
      <c r="F41" s="17" t="s">
        <v>147</v>
      </c>
    </row>
    <row r="42" customFormat="false" ht="28.35" hidden="false" customHeight="false" outlineLevel="0" collapsed="false">
      <c r="A42" s="15" t="s">
        <v>206</v>
      </c>
      <c r="B42" s="15" t="s">
        <v>196</v>
      </c>
      <c r="C42" s="20" t="n">
        <v>0.885625763049011</v>
      </c>
      <c r="D42" s="20" t="n">
        <v>0.543910296640308</v>
      </c>
      <c r="E42" s="20" t="n">
        <v>0.370396092321226</v>
      </c>
      <c r="F42" s="17" t="s">
        <v>147</v>
      </c>
    </row>
    <row r="43" customFormat="false" ht="28.35" hidden="false" customHeight="false" outlineLevel="0" collapsed="false">
      <c r="A43" s="15" t="s">
        <v>207</v>
      </c>
      <c r="B43" s="15" t="s">
        <v>196</v>
      </c>
      <c r="C43" s="20" t="n">
        <v>0.843719181201266</v>
      </c>
      <c r="D43" s="20" t="n">
        <v>0.408737323510764</v>
      </c>
      <c r="E43" s="20" t="n">
        <v>0.231497557700766</v>
      </c>
      <c r="F43" s="17" t="s">
        <v>147</v>
      </c>
    </row>
    <row r="44" customFormat="false" ht="28.35" hidden="false" customHeight="false" outlineLevel="0" collapsed="false">
      <c r="A44" s="15" t="s">
        <v>208</v>
      </c>
      <c r="B44" s="15" t="s">
        <v>196</v>
      </c>
      <c r="C44" s="20" t="n">
        <v>0.5587544246366</v>
      </c>
      <c r="D44" s="20" t="n">
        <v>0.38620849465584</v>
      </c>
      <c r="E44" s="20" t="n">
        <v>0.254647313470843</v>
      </c>
      <c r="F44" s="17" t="s">
        <v>147</v>
      </c>
    </row>
    <row r="45" customFormat="false" ht="28.35" hidden="false" customHeight="false" outlineLevel="0" collapsed="false">
      <c r="A45" s="15" t="s">
        <v>209</v>
      </c>
      <c r="B45" s="15" t="s">
        <v>192</v>
      </c>
      <c r="C45" s="26" t="n">
        <v>50000</v>
      </c>
      <c r="D45" s="26" t="n">
        <v>175000</v>
      </c>
      <c r="E45" s="26" t="n">
        <v>250000</v>
      </c>
      <c r="F45" s="17" t="s">
        <v>210</v>
      </c>
    </row>
    <row r="46" customFormat="false" ht="15" hidden="false" customHeight="false" outlineLevel="0" collapsed="false">
      <c r="A46" s="15" t="s">
        <v>211</v>
      </c>
      <c r="B46" s="15" t="s">
        <v>201</v>
      </c>
      <c r="C46" s="27" t="n">
        <v>180</v>
      </c>
      <c r="D46" s="27" t="n">
        <v>241</v>
      </c>
      <c r="E46" s="27" t="n">
        <v>300</v>
      </c>
      <c r="F46" s="17" t="s">
        <v>212</v>
      </c>
    </row>
    <row r="47" customFormat="false" ht="15" hidden="false" customHeight="false" outlineLevel="0" collapsed="false">
      <c r="A47" s="15" t="s">
        <v>213</v>
      </c>
      <c r="B47" s="15" t="s">
        <v>146</v>
      </c>
      <c r="C47" s="18" t="n">
        <v>0.022</v>
      </c>
      <c r="D47" s="18" t="n">
        <v>0.03</v>
      </c>
      <c r="E47" s="18" t="n">
        <v>0.04</v>
      </c>
      <c r="F47" s="17" t="s">
        <v>214</v>
      </c>
    </row>
    <row r="48" customFormat="false" ht="15" hidden="false" customHeight="false" outlineLevel="0" collapsed="false">
      <c r="A48" s="15" t="s">
        <v>215</v>
      </c>
      <c r="B48" s="15" t="s">
        <v>143</v>
      </c>
      <c r="C48" s="16" t="n">
        <v>15</v>
      </c>
      <c r="D48" s="16" t="n">
        <v>60</v>
      </c>
      <c r="E48" s="16" t="n">
        <v>150</v>
      </c>
      <c r="F48" s="17" t="s">
        <v>216</v>
      </c>
    </row>
    <row r="49" customFormat="false" ht="15" hidden="false" customHeight="false" outlineLevel="0" collapsed="false">
      <c r="A49" s="15" t="s">
        <v>217</v>
      </c>
      <c r="B49" s="15" t="s">
        <v>192</v>
      </c>
      <c r="C49" s="27" t="n">
        <v>600</v>
      </c>
      <c r="D49" s="27" t="n">
        <v>600</v>
      </c>
      <c r="E49" s="27" t="n">
        <v>600</v>
      </c>
      <c r="F49" s="17" t="s">
        <v>218</v>
      </c>
    </row>
    <row r="50" customFormat="false" ht="15" hidden="false" customHeight="false" outlineLevel="0" collapsed="false">
      <c r="A50" s="15" t="s">
        <v>219</v>
      </c>
      <c r="B50" s="15" t="s">
        <v>143</v>
      </c>
      <c r="C50" s="16" t="n">
        <v>12</v>
      </c>
      <c r="D50" s="16" t="n">
        <v>45</v>
      </c>
      <c r="E50" s="16" t="n">
        <v>120</v>
      </c>
      <c r="F50" s="17" t="s">
        <v>220</v>
      </c>
    </row>
    <row r="51" customFormat="false" ht="15" hidden="false" customHeight="false" outlineLevel="0" collapsed="false">
      <c r="A51" s="15" t="s">
        <v>221</v>
      </c>
      <c r="B51" s="15" t="s">
        <v>192</v>
      </c>
      <c r="C51" s="27" t="n">
        <v>5000</v>
      </c>
      <c r="D51" s="27" t="n">
        <v>5000</v>
      </c>
      <c r="E51" s="27" t="n">
        <v>5000</v>
      </c>
      <c r="F51" s="17" t="s">
        <v>218</v>
      </c>
    </row>
    <row r="52" customFormat="false" ht="15" hidden="false" customHeight="false" outlineLevel="0" collapsed="false">
      <c r="A52" s="15" t="s">
        <v>222</v>
      </c>
      <c r="B52" s="15" t="s">
        <v>201</v>
      </c>
      <c r="C52" s="27" t="n">
        <v>0</v>
      </c>
      <c r="D52" s="27" t="n">
        <v>12</v>
      </c>
      <c r="E52" s="27" t="n">
        <v>24</v>
      </c>
      <c r="F52" s="17" t="s">
        <v>223</v>
      </c>
    </row>
    <row r="53" customFormat="false" ht="28.35" hidden="false" customHeight="false" outlineLevel="0" collapsed="false">
      <c r="A53" s="15" t="s">
        <v>224</v>
      </c>
      <c r="B53" s="15" t="s">
        <v>192</v>
      </c>
      <c r="C53" s="26" t="n">
        <v>0</v>
      </c>
      <c r="D53" s="26" t="n">
        <v>250000</v>
      </c>
      <c r="E53" s="26" t="n">
        <v>500000</v>
      </c>
      <c r="F53" s="17" t="s">
        <v>225</v>
      </c>
    </row>
    <row r="54" customFormat="false" ht="28.35" hidden="false" customHeight="false" outlineLevel="0" collapsed="false">
      <c r="A54" s="15" t="s">
        <v>226</v>
      </c>
      <c r="B54" s="15" t="s">
        <v>227</v>
      </c>
      <c r="C54" s="26" t="n">
        <v>0</v>
      </c>
      <c r="D54" s="26" t="n">
        <v>250000</v>
      </c>
      <c r="E54" s="26" t="n">
        <v>500000</v>
      </c>
      <c r="F54" s="17" t="s">
        <v>147</v>
      </c>
    </row>
    <row r="56" customFormat="false" ht="15" hidden="false" customHeight="false" outlineLevel="0" collapsed="false">
      <c r="A56" s="6" t="s">
        <v>228</v>
      </c>
      <c r="B56" s="7"/>
      <c r="C56" s="7"/>
      <c r="D56" s="7"/>
      <c r="E56" s="7"/>
      <c r="F56" s="7"/>
    </row>
    <row r="57" customFormat="false" ht="15" hidden="false" customHeight="false" outlineLevel="0" collapsed="false">
      <c r="A57" s="15" t="s">
        <v>229</v>
      </c>
      <c r="B57" s="15" t="s">
        <v>230</v>
      </c>
      <c r="C57" s="29" t="n">
        <v>1</v>
      </c>
      <c r="D57" s="29" t="n">
        <v>1</v>
      </c>
      <c r="E57" s="29" t="n">
        <v>1</v>
      </c>
      <c r="F57" s="17" t="s">
        <v>231</v>
      </c>
    </row>
    <row r="58" customFormat="false" ht="15" hidden="false" customHeight="false" outlineLevel="0" collapsed="false">
      <c r="A58" s="15" t="s">
        <v>232</v>
      </c>
      <c r="B58" s="15" t="s">
        <v>233</v>
      </c>
      <c r="C58" s="21" t="n">
        <v>0.05</v>
      </c>
      <c r="D58" s="21" t="n">
        <v>0.1</v>
      </c>
      <c r="E58" s="21" t="n">
        <v>0.15</v>
      </c>
      <c r="F58" s="17" t="s">
        <v>234</v>
      </c>
    </row>
    <row r="59" customFormat="false" ht="15" hidden="false" customHeight="false" outlineLevel="0" collapsed="false">
      <c r="A59" s="15" t="s">
        <v>235</v>
      </c>
      <c r="B59" s="15" t="s">
        <v>201</v>
      </c>
      <c r="C59" s="26" t="n">
        <v>240</v>
      </c>
      <c r="D59" s="26" t="n">
        <v>240</v>
      </c>
      <c r="E59" s="26" t="n">
        <v>240</v>
      </c>
      <c r="F59" s="17" t="s">
        <v>236</v>
      </c>
    </row>
    <row r="60" customFormat="false" ht="15" hidden="false" customHeight="false" outlineLevel="0" collapsed="false">
      <c r="A60" s="15" t="s">
        <v>237</v>
      </c>
      <c r="B60" s="15" t="s">
        <v>238</v>
      </c>
      <c r="C60" s="21" t="n">
        <v>0.005</v>
      </c>
      <c r="D60" s="21" t="n">
        <v>0.01</v>
      </c>
      <c r="E60" s="21" t="n">
        <v>0.015</v>
      </c>
      <c r="F60" s="17" t="s">
        <v>239</v>
      </c>
    </row>
    <row r="61" customFormat="false" ht="15" hidden="false" customHeight="false" outlineLevel="0" collapsed="false">
      <c r="A61" s="15" t="s">
        <v>240</v>
      </c>
      <c r="B61" s="15" t="s">
        <v>189</v>
      </c>
      <c r="C61" s="26" t="n">
        <v>10</v>
      </c>
      <c r="D61" s="26" t="n">
        <v>10</v>
      </c>
      <c r="E61" s="26" t="n">
        <v>10</v>
      </c>
      <c r="F61" s="17" t="s">
        <v>241</v>
      </c>
    </row>
    <row r="62" customFormat="false" ht="15" hidden="false" customHeight="false" outlineLevel="0" collapsed="false">
      <c r="A62" s="15" t="s">
        <v>242</v>
      </c>
      <c r="B62" s="15" t="s">
        <v>192</v>
      </c>
      <c r="C62" s="26" t="n">
        <v>20000</v>
      </c>
      <c r="D62" s="26" t="n">
        <v>60000</v>
      </c>
      <c r="E62" s="26" t="n">
        <v>100000</v>
      </c>
      <c r="F62" s="17" t="s">
        <v>243</v>
      </c>
    </row>
    <row r="63" customFormat="false" ht="15" hidden="false" customHeight="false" outlineLevel="0" collapsed="false">
      <c r="A63" s="15" t="s">
        <v>244</v>
      </c>
      <c r="B63" s="15" t="s">
        <v>192</v>
      </c>
      <c r="C63" s="26" t="n">
        <v>0</v>
      </c>
      <c r="D63" s="26" t="n">
        <v>90000</v>
      </c>
      <c r="E63" s="26" t="n">
        <v>120000</v>
      </c>
      <c r="F63" s="17" t="s">
        <v>245</v>
      </c>
    </row>
    <row r="64" customFormat="false" ht="15" hidden="false" customHeight="false" outlineLevel="0" collapsed="false">
      <c r="A64" s="15" t="s">
        <v>246</v>
      </c>
      <c r="B64" s="15" t="s">
        <v>189</v>
      </c>
      <c r="C64" s="26" t="n">
        <v>250000</v>
      </c>
      <c r="D64" s="26" t="n">
        <v>250000</v>
      </c>
      <c r="E64" s="26" t="n">
        <v>250000</v>
      </c>
      <c r="F64" s="17" t="s">
        <v>186</v>
      </c>
    </row>
    <row r="65" customFormat="false" ht="15" hidden="false" customHeight="false" outlineLevel="0" collapsed="false">
      <c r="A65" s="15" t="s">
        <v>247</v>
      </c>
      <c r="B65" s="15" t="s">
        <v>192</v>
      </c>
      <c r="C65" s="26" t="n">
        <v>90000</v>
      </c>
      <c r="D65" s="26" t="n">
        <v>120000</v>
      </c>
      <c r="E65" s="26" t="n">
        <v>150000</v>
      </c>
      <c r="F65" s="17" t="s">
        <v>186</v>
      </c>
    </row>
    <row r="67" customFormat="false" ht="15" hidden="false" customHeight="false" outlineLevel="0" collapsed="false">
      <c r="A67" s="6" t="s">
        <v>248</v>
      </c>
      <c r="B67" s="7"/>
      <c r="C67" s="7"/>
      <c r="D67" s="7"/>
      <c r="E67" s="7"/>
      <c r="F67" s="7"/>
    </row>
    <row r="68" customFormat="false" ht="28.35" hidden="false" customHeight="false" outlineLevel="0" collapsed="false">
      <c r="A68" s="15" t="s">
        <v>249</v>
      </c>
      <c r="B68" s="15" t="s">
        <v>140</v>
      </c>
      <c r="C68" s="16" t="n">
        <v>13500</v>
      </c>
      <c r="D68" s="16" t="n">
        <v>13500</v>
      </c>
      <c r="E68" s="16" t="n">
        <v>13500</v>
      </c>
      <c r="F68" s="17" t="s">
        <v>147</v>
      </c>
    </row>
    <row r="69" customFormat="false" ht="28.35" hidden="false" customHeight="false" outlineLevel="0" collapsed="false">
      <c r="A69" s="15" t="s">
        <v>250</v>
      </c>
      <c r="B69" s="15" t="s">
        <v>251</v>
      </c>
      <c r="C69" s="26" t="n">
        <v>8</v>
      </c>
      <c r="D69" s="26" t="n">
        <v>11</v>
      </c>
      <c r="E69" s="26" t="n">
        <v>14</v>
      </c>
      <c r="F69" s="17" t="s">
        <v>252</v>
      </c>
    </row>
    <row r="70" customFormat="false" ht="41.75" hidden="false" customHeight="false" outlineLevel="0" collapsed="false">
      <c r="A70" s="15" t="s">
        <v>253</v>
      </c>
      <c r="B70" s="15" t="s">
        <v>192</v>
      </c>
      <c r="C70" s="26" t="n">
        <v>80000</v>
      </c>
      <c r="D70" s="26" t="n">
        <v>224000</v>
      </c>
      <c r="E70" s="26" t="n">
        <v>288000</v>
      </c>
      <c r="F70" s="17" t="s">
        <v>254</v>
      </c>
    </row>
    <row r="71" customFormat="false" ht="28.35" hidden="false" customHeight="false" outlineLevel="0" collapsed="false">
      <c r="A71" s="15" t="s">
        <v>255</v>
      </c>
      <c r="B71" s="15" t="s">
        <v>192</v>
      </c>
      <c r="C71" s="27" t="n">
        <v>72000</v>
      </c>
      <c r="D71" s="27" t="n">
        <v>90000</v>
      </c>
      <c r="E71" s="27" t="n">
        <v>108000</v>
      </c>
      <c r="F71" s="17" t="s">
        <v>147</v>
      </c>
    </row>
    <row r="72" customFormat="false" ht="28.35" hidden="false" customHeight="false" outlineLevel="0" collapsed="false">
      <c r="A72" s="15" t="s">
        <v>79</v>
      </c>
      <c r="B72" s="15" t="s">
        <v>192</v>
      </c>
      <c r="C72" s="26" t="n">
        <v>5000</v>
      </c>
      <c r="D72" s="26" t="n">
        <v>15000</v>
      </c>
      <c r="E72" s="26" t="n">
        <v>30000</v>
      </c>
      <c r="F72" s="17" t="s">
        <v>256</v>
      </c>
    </row>
    <row r="73" customFormat="false" ht="41.75" hidden="false" customHeight="false" outlineLevel="0" collapsed="false">
      <c r="A73" s="15" t="s">
        <v>257</v>
      </c>
      <c r="B73" s="15" t="s">
        <v>146</v>
      </c>
      <c r="C73" s="24" t="n">
        <v>0.3</v>
      </c>
      <c r="D73" s="24" t="n">
        <v>0.25</v>
      </c>
      <c r="E73" s="24" t="n">
        <v>0.2</v>
      </c>
      <c r="F73" s="17" t="s">
        <v>258</v>
      </c>
    </row>
    <row r="75" customFormat="false" ht="15" hidden="false" customHeight="false" outlineLevel="0" collapsed="false">
      <c r="A75" s="6" t="s">
        <v>259</v>
      </c>
      <c r="B75" s="7"/>
      <c r="C75" s="7"/>
      <c r="D75" s="7"/>
      <c r="E75" s="7"/>
      <c r="F75" s="7"/>
    </row>
    <row r="76" customFormat="false" ht="28.35" hidden="false" customHeight="false" outlineLevel="0" collapsed="false">
      <c r="A76" s="15" t="s">
        <v>260</v>
      </c>
      <c r="B76" s="15" t="s">
        <v>261</v>
      </c>
      <c r="C76" s="16" t="n">
        <v>3</v>
      </c>
      <c r="D76" s="16" t="n">
        <v>3</v>
      </c>
      <c r="E76" s="16" t="n">
        <v>3</v>
      </c>
      <c r="F76" s="17" t="s">
        <v>147</v>
      </c>
    </row>
    <row r="77" customFormat="false" ht="28.35" hidden="false" customHeight="false" outlineLevel="0" collapsed="false">
      <c r="A77" s="15" t="s">
        <v>262</v>
      </c>
      <c r="B77" s="15" t="s">
        <v>261</v>
      </c>
      <c r="C77" s="16" t="n">
        <v>6</v>
      </c>
      <c r="D77" s="16" t="n">
        <v>6</v>
      </c>
      <c r="E77" s="16" t="n">
        <v>6</v>
      </c>
      <c r="F77" s="17" t="s">
        <v>147</v>
      </c>
    </row>
    <row r="78" customFormat="false" ht="28.35" hidden="false" customHeight="false" outlineLevel="0" collapsed="false">
      <c r="A78" s="15" t="s">
        <v>263</v>
      </c>
      <c r="B78" s="15" t="s">
        <v>261</v>
      </c>
      <c r="C78" s="16" t="n">
        <v>12</v>
      </c>
      <c r="D78" s="16" t="n">
        <v>12</v>
      </c>
      <c r="E78" s="16" t="n">
        <v>12</v>
      </c>
      <c r="F78" s="17" t="s">
        <v>147</v>
      </c>
    </row>
    <row r="79" customFormat="false" ht="28.35" hidden="false" customHeight="false" outlineLevel="0" collapsed="false">
      <c r="A79" s="15" t="s">
        <v>264</v>
      </c>
      <c r="B79" s="15" t="s">
        <v>261</v>
      </c>
      <c r="C79" s="16" t="n">
        <v>18</v>
      </c>
      <c r="D79" s="16" t="n">
        <v>18</v>
      </c>
      <c r="E79" s="16" t="n">
        <v>18</v>
      </c>
      <c r="F79" s="17" t="s">
        <v>147</v>
      </c>
    </row>
    <row r="80" customFormat="false" ht="15" hidden="false" customHeight="false" outlineLevel="0" collapsed="false">
      <c r="A80" s="15" t="s">
        <v>265</v>
      </c>
      <c r="B80" s="15" t="s">
        <v>261</v>
      </c>
      <c r="C80" s="16" t="n">
        <v>3</v>
      </c>
      <c r="D80" s="16" t="n">
        <v>3</v>
      </c>
      <c r="E80" s="16" t="n">
        <v>3</v>
      </c>
      <c r="F80" s="17" t="s">
        <v>266</v>
      </c>
    </row>
    <row r="82" customFormat="false" ht="15" hidden="false" customHeight="false" outlineLevel="0" collapsed="false">
      <c r="A82" s="6" t="s">
        <v>267</v>
      </c>
      <c r="B82" s="7"/>
      <c r="C82" s="7"/>
      <c r="D82" s="7"/>
      <c r="E82" s="7"/>
      <c r="F82" s="7"/>
    </row>
    <row r="83" customFormat="false" ht="15" hidden="false" customHeight="false" outlineLevel="0" collapsed="false">
      <c r="A83" s="15" t="s">
        <v>268</v>
      </c>
      <c r="B83" s="15" t="s">
        <v>192</v>
      </c>
      <c r="C83" s="26" t="n">
        <v>2800000</v>
      </c>
      <c r="D83" s="26" t="n">
        <v>3400000</v>
      </c>
      <c r="E83" s="26" t="n">
        <v>3800000</v>
      </c>
      <c r="F83" s="17" t="s">
        <v>269</v>
      </c>
    </row>
    <row r="84" customFormat="false" ht="15" hidden="false" customHeight="false" outlineLevel="0" collapsed="false">
      <c r="A84" s="15" t="s">
        <v>270</v>
      </c>
      <c r="B84" s="15" t="s">
        <v>251</v>
      </c>
      <c r="C84" s="26" t="n">
        <v>6</v>
      </c>
      <c r="D84" s="26" t="n">
        <v>6</v>
      </c>
      <c r="E84" s="26" t="n">
        <v>6</v>
      </c>
      <c r="F84" s="17" t="s">
        <v>186</v>
      </c>
    </row>
    <row r="85" customFormat="false" ht="15" hidden="false" customHeight="false" outlineLevel="0" collapsed="false">
      <c r="A85" s="15" t="s">
        <v>271</v>
      </c>
      <c r="B85" s="15" t="s">
        <v>192</v>
      </c>
      <c r="C85" s="26" t="n">
        <v>150000</v>
      </c>
      <c r="D85" s="26" t="n">
        <v>150000</v>
      </c>
      <c r="E85" s="26" t="n">
        <v>150000</v>
      </c>
      <c r="F85" s="17" t="s">
        <v>168</v>
      </c>
    </row>
    <row r="86" customFormat="false" ht="15" hidden="false" customHeight="false" outlineLevel="0" collapsed="false">
      <c r="A86" s="15" t="s">
        <v>272</v>
      </c>
      <c r="B86" s="15" t="s">
        <v>192</v>
      </c>
      <c r="C86" s="26" t="n">
        <v>250000</v>
      </c>
      <c r="D86" s="26" t="n">
        <v>250000</v>
      </c>
      <c r="E86" s="26" t="n">
        <v>300000</v>
      </c>
      <c r="F86" s="17" t="s">
        <v>168</v>
      </c>
    </row>
    <row r="87" customFormat="false" ht="15" hidden="false" customHeight="false" outlineLevel="0" collapsed="false">
      <c r="A87" s="15" t="s">
        <v>273</v>
      </c>
      <c r="B87" s="15" t="s">
        <v>192</v>
      </c>
      <c r="C87" s="26" t="n">
        <v>200000</v>
      </c>
      <c r="D87" s="26" t="n">
        <v>200000</v>
      </c>
      <c r="E87" s="26" t="n">
        <v>220000</v>
      </c>
      <c r="F87" s="17" t="s">
        <v>168</v>
      </c>
    </row>
    <row r="88" customFormat="false" ht="15" hidden="false" customHeight="false" outlineLevel="0" collapsed="false">
      <c r="A88" s="15" t="s">
        <v>274</v>
      </c>
      <c r="B88" s="15" t="s">
        <v>192</v>
      </c>
      <c r="C88" s="26" t="n">
        <v>250000</v>
      </c>
      <c r="D88" s="26" t="n">
        <v>250000</v>
      </c>
      <c r="E88" s="26" t="n">
        <v>300000</v>
      </c>
      <c r="F88" s="17" t="s">
        <v>168</v>
      </c>
    </row>
    <row r="89" customFormat="false" ht="15" hidden="false" customHeight="false" outlineLevel="0" collapsed="false">
      <c r="A89" s="15" t="s">
        <v>275</v>
      </c>
      <c r="B89" s="15" t="s">
        <v>196</v>
      </c>
      <c r="C89" s="30" t="n">
        <v>0.6</v>
      </c>
      <c r="D89" s="30" t="n">
        <v>0.6</v>
      </c>
      <c r="E89" s="30" t="n">
        <v>0.6</v>
      </c>
      <c r="F89" s="17" t="s">
        <v>168</v>
      </c>
    </row>
    <row r="90" customFormat="false" ht="15" hidden="false" customHeight="false" outlineLevel="0" collapsed="false">
      <c r="A90" s="15" t="s">
        <v>276</v>
      </c>
      <c r="B90" s="15" t="s">
        <v>277</v>
      </c>
      <c r="C90" s="18" t="n">
        <v>0.45</v>
      </c>
      <c r="D90" s="18" t="n">
        <v>0.45</v>
      </c>
      <c r="E90" s="18" t="n">
        <v>0.45</v>
      </c>
      <c r="F90" s="17" t="s">
        <v>168</v>
      </c>
    </row>
    <row r="91" customFormat="false" ht="15" hidden="false" customHeight="false" outlineLevel="0" collapsed="false">
      <c r="A91" s="15" t="s">
        <v>278</v>
      </c>
      <c r="B91" s="15" t="s">
        <v>277</v>
      </c>
      <c r="C91" s="18" t="n">
        <v>0.5</v>
      </c>
      <c r="D91" s="18" t="n">
        <v>0.5</v>
      </c>
      <c r="E91" s="18" t="n">
        <v>0.5</v>
      </c>
      <c r="F91" s="17" t="s">
        <v>168</v>
      </c>
    </row>
    <row r="92" customFormat="false" ht="15" hidden="false" customHeight="false" outlineLevel="0" collapsed="false">
      <c r="A92" s="15" t="s">
        <v>279</v>
      </c>
      <c r="B92" s="15" t="s">
        <v>277</v>
      </c>
      <c r="C92" s="18" t="n">
        <v>0.3</v>
      </c>
      <c r="D92" s="18" t="n">
        <v>0.3</v>
      </c>
      <c r="E92" s="18" t="n">
        <v>0.3</v>
      </c>
      <c r="F92" s="17" t="s">
        <v>168</v>
      </c>
    </row>
    <row r="93" customFormat="false" ht="15" hidden="false" customHeight="false" outlineLevel="0" collapsed="false">
      <c r="A93" s="15" t="s">
        <v>280</v>
      </c>
      <c r="B93" s="15" t="s">
        <v>277</v>
      </c>
      <c r="C93" s="18" t="n">
        <v>0.5</v>
      </c>
      <c r="D93" s="18" t="n">
        <v>0.5</v>
      </c>
      <c r="E93" s="18" t="n">
        <v>0.5</v>
      </c>
      <c r="F93" s="17" t="s">
        <v>168</v>
      </c>
    </row>
    <row r="94" customFormat="false" ht="15" hidden="false" customHeight="false" outlineLevel="0" collapsed="false">
      <c r="A94" s="15" t="s">
        <v>281</v>
      </c>
      <c r="B94" s="15" t="s">
        <v>282</v>
      </c>
      <c r="C94" s="18" t="n">
        <v>0.06</v>
      </c>
      <c r="D94" s="18" t="n">
        <v>0.06</v>
      </c>
      <c r="E94" s="18" t="n">
        <v>0.06</v>
      </c>
      <c r="F94" s="17" t="s">
        <v>283</v>
      </c>
    </row>
    <row r="95" customFormat="false" ht="28.35" hidden="false" customHeight="false" outlineLevel="0" collapsed="false">
      <c r="A95" s="15" t="s">
        <v>284</v>
      </c>
      <c r="B95" s="15" t="s">
        <v>192</v>
      </c>
      <c r="C95" s="26" t="n">
        <v>0</v>
      </c>
      <c r="D95" s="26" t="n">
        <v>150000</v>
      </c>
      <c r="E95" s="26" t="n">
        <v>300000</v>
      </c>
      <c r="F95" s="17" t="s">
        <v>285</v>
      </c>
    </row>
    <row r="96" customFormat="false" ht="15" hidden="false" customHeight="false" outlineLevel="0" collapsed="false">
      <c r="A96" s="15" t="s">
        <v>286</v>
      </c>
      <c r="B96" s="15" t="s">
        <v>282</v>
      </c>
      <c r="C96" s="18" t="n">
        <v>0.02</v>
      </c>
      <c r="D96" s="18" t="n">
        <v>0.02</v>
      </c>
      <c r="E96" s="18" t="n">
        <v>0.02</v>
      </c>
      <c r="F96" s="17" t="s">
        <v>168</v>
      </c>
    </row>
    <row r="97" customFormat="false" ht="15" hidden="false" customHeight="false" outlineLevel="0" collapsed="false">
      <c r="A97" s="15" t="s">
        <v>287</v>
      </c>
      <c r="B97" s="15" t="s">
        <v>201</v>
      </c>
      <c r="C97" s="26" t="n">
        <v>60</v>
      </c>
      <c r="D97" s="26" t="n">
        <v>60</v>
      </c>
      <c r="E97" s="26" t="n">
        <v>60</v>
      </c>
      <c r="F97" s="17" t="s">
        <v>186</v>
      </c>
    </row>
    <row r="98" customFormat="false" ht="15" hidden="false" customHeight="false" outlineLevel="0" collapsed="false">
      <c r="A98" s="15" t="s">
        <v>288</v>
      </c>
      <c r="B98" s="15" t="s">
        <v>192</v>
      </c>
      <c r="C98" s="26" t="n">
        <v>450000</v>
      </c>
      <c r="D98" s="26" t="n">
        <v>750000</v>
      </c>
      <c r="E98" s="26" t="n">
        <v>900000</v>
      </c>
      <c r="F98" s="17" t="s">
        <v>186</v>
      </c>
    </row>
    <row r="99" customFormat="false" ht="28.35" hidden="false" customHeight="false" outlineLevel="0" collapsed="false">
      <c r="A99" s="15" t="s">
        <v>289</v>
      </c>
      <c r="B99" s="15" t="s">
        <v>192</v>
      </c>
      <c r="C99" s="27" t="n">
        <v>40000</v>
      </c>
      <c r="D99" s="27" t="n">
        <v>40000</v>
      </c>
      <c r="E99" s="27" t="n">
        <v>40000</v>
      </c>
      <c r="F99" s="17" t="s">
        <v>147</v>
      </c>
    </row>
    <row r="100" customFormat="false" ht="15" hidden="false" customHeight="false" outlineLevel="0" collapsed="false">
      <c r="A100" s="15" t="s">
        <v>290</v>
      </c>
      <c r="B100" s="15" t="s">
        <v>291</v>
      </c>
      <c r="C100" s="18" t="n">
        <v>0.025</v>
      </c>
      <c r="D100" s="18" t="n">
        <v>0.025</v>
      </c>
      <c r="E100" s="18" t="n">
        <v>0.025</v>
      </c>
      <c r="F100" s="17" t="s">
        <v>168</v>
      </c>
    </row>
    <row r="101" customFormat="false" ht="15" hidden="false" customHeight="false" outlineLevel="0" collapsed="false">
      <c r="A101" s="15" t="s">
        <v>292</v>
      </c>
      <c r="B101" s="15" t="s">
        <v>293</v>
      </c>
      <c r="C101" s="21" t="n">
        <v>0.012</v>
      </c>
      <c r="D101" s="21" t="n">
        <v>0.012</v>
      </c>
      <c r="E101" s="21" t="n">
        <v>0.012</v>
      </c>
      <c r="F101" s="17" t="s">
        <v>168</v>
      </c>
    </row>
    <row r="102" customFormat="false" ht="15" hidden="false" customHeight="false" outlineLevel="0" collapsed="false">
      <c r="A102" s="15" t="s">
        <v>294</v>
      </c>
      <c r="B102" s="15" t="s">
        <v>192</v>
      </c>
      <c r="C102" s="26" t="n">
        <v>160000</v>
      </c>
      <c r="D102" s="26" t="n">
        <v>160000</v>
      </c>
      <c r="E102" s="26" t="n">
        <v>160000</v>
      </c>
      <c r="F102" s="17" t="s">
        <v>168</v>
      </c>
    </row>
    <row r="103" customFormat="false" ht="15" hidden="false" customHeight="false" outlineLevel="0" collapsed="false">
      <c r="A103" s="15" t="s">
        <v>295</v>
      </c>
      <c r="B103" s="15" t="s">
        <v>296</v>
      </c>
      <c r="C103" s="18" t="n">
        <v>0.03</v>
      </c>
      <c r="D103" s="18" t="n">
        <v>0.03</v>
      </c>
      <c r="E103" s="18" t="n">
        <v>0.03</v>
      </c>
      <c r="F103" s="17" t="s">
        <v>168</v>
      </c>
    </row>
    <row r="105" customFormat="false" ht="15" hidden="false" customHeight="false" outlineLevel="0" collapsed="false">
      <c r="A105" s="6" t="s">
        <v>297</v>
      </c>
      <c r="B105" s="7"/>
      <c r="C105" s="7"/>
      <c r="D105" s="7"/>
      <c r="E105" s="7"/>
      <c r="F105" s="7"/>
    </row>
    <row r="106" customFormat="false" ht="28.35" hidden="false" customHeight="false" outlineLevel="0" collapsed="false">
      <c r="A106" s="15" t="s">
        <v>298</v>
      </c>
      <c r="B106" s="15" t="s">
        <v>189</v>
      </c>
      <c r="C106" s="27" t="n">
        <v>8600000</v>
      </c>
      <c r="D106" s="27" t="n">
        <v>6400000</v>
      </c>
      <c r="E106" s="27" t="n">
        <v>5200000</v>
      </c>
      <c r="F106" s="17" t="s">
        <v>147</v>
      </c>
    </row>
    <row r="107" customFormat="false" ht="28.35" hidden="false" customHeight="false" outlineLevel="0" collapsed="false">
      <c r="A107" s="15" t="s">
        <v>299</v>
      </c>
      <c r="B107" s="15" t="s">
        <v>189</v>
      </c>
      <c r="C107" s="26" t="n">
        <v>138000</v>
      </c>
      <c r="D107" s="26" t="n">
        <v>838000</v>
      </c>
      <c r="E107" s="26" t="n">
        <v>1000000</v>
      </c>
      <c r="F107" s="17" t="s">
        <v>300</v>
      </c>
    </row>
    <row r="108" customFormat="false" ht="28.35" hidden="false" customHeight="false" outlineLevel="0" collapsed="false">
      <c r="A108" s="15" t="s">
        <v>301</v>
      </c>
      <c r="B108" s="15" t="s">
        <v>189</v>
      </c>
      <c r="C108" s="26" t="n">
        <v>4000000</v>
      </c>
      <c r="D108" s="26" t="n">
        <v>3000000</v>
      </c>
      <c r="E108" s="26" t="n">
        <v>2000000</v>
      </c>
      <c r="F108" s="17" t="s">
        <v>302</v>
      </c>
    </row>
    <row r="109" customFormat="false" ht="15" hidden="false" customHeight="false" outlineLevel="0" collapsed="false">
      <c r="A109" s="15" t="s">
        <v>303</v>
      </c>
      <c r="B109" s="15" t="s">
        <v>282</v>
      </c>
      <c r="C109" s="18" t="n">
        <v>0.02</v>
      </c>
      <c r="D109" s="18" t="n">
        <v>0.02</v>
      </c>
      <c r="E109" s="18" t="n">
        <v>0.02</v>
      </c>
      <c r="F109" s="17" t="s">
        <v>168</v>
      </c>
    </row>
    <row r="111" customFormat="false" ht="15" hidden="false" customHeight="false" outlineLevel="0" collapsed="false">
      <c r="A111" s="6" t="s">
        <v>304</v>
      </c>
      <c r="B111" s="7"/>
      <c r="C111" s="7"/>
      <c r="D111" s="7"/>
      <c r="E111" s="7"/>
      <c r="F111" s="7"/>
    </row>
    <row r="112" customFormat="false" ht="41.75" hidden="false" customHeight="false" outlineLevel="0" collapsed="false">
      <c r="A112" s="15" t="s">
        <v>305</v>
      </c>
      <c r="B112" s="15" t="s">
        <v>306</v>
      </c>
      <c r="C112" s="16" t="n">
        <v>1</v>
      </c>
      <c r="D112" s="16" t="n">
        <v>1</v>
      </c>
      <c r="E112" s="16" t="n">
        <v>1</v>
      </c>
      <c r="F112" s="17" t="s">
        <v>307</v>
      </c>
    </row>
    <row r="113" customFormat="false" ht="15" hidden="false" customHeight="false" outlineLevel="0" collapsed="false">
      <c r="A113" s="15" t="s">
        <v>308</v>
      </c>
      <c r="B113" s="15" t="s">
        <v>306</v>
      </c>
      <c r="C113" s="16" t="n">
        <v>1</v>
      </c>
      <c r="D113" s="16" t="n">
        <v>2</v>
      </c>
      <c r="E113" s="16" t="n">
        <v>3</v>
      </c>
      <c r="F113" s="17"/>
    </row>
    <row r="114" customFormat="false" ht="15" hidden="false" customHeight="false" outlineLevel="0" collapsed="false">
      <c r="A114" s="15" t="s">
        <v>309</v>
      </c>
      <c r="B114" s="15" t="s">
        <v>306</v>
      </c>
      <c r="C114" s="16" t="n">
        <v>3</v>
      </c>
      <c r="D114" s="16" t="n">
        <v>7</v>
      </c>
      <c r="E114" s="16" t="n">
        <v>11</v>
      </c>
      <c r="F114" s="17"/>
    </row>
    <row r="115" customFormat="false" ht="15" hidden="false" customHeight="false" outlineLevel="0" collapsed="false">
      <c r="A115" s="15" t="s">
        <v>310</v>
      </c>
      <c r="B115" s="15" t="s">
        <v>306</v>
      </c>
      <c r="C115" s="16" t="n">
        <v>5</v>
      </c>
      <c r="D115" s="16" t="n">
        <v>15</v>
      </c>
      <c r="E115" s="16" t="n">
        <v>25</v>
      </c>
      <c r="F115" s="17"/>
    </row>
    <row r="116" customFormat="false" ht="15" hidden="false" customHeight="false" outlineLevel="0" collapsed="false">
      <c r="A116" s="15" t="s">
        <v>311</v>
      </c>
      <c r="B116" s="15" t="s">
        <v>306</v>
      </c>
      <c r="C116" s="16" t="n">
        <v>10</v>
      </c>
      <c r="D116" s="16" t="n">
        <v>25</v>
      </c>
      <c r="E116" s="16" t="n">
        <v>60</v>
      </c>
      <c r="F116" s="17"/>
    </row>
    <row r="117" customFormat="false" ht="15" hidden="false" customHeight="false" outlineLevel="0" collapsed="false">
      <c r="A117" s="15" t="s">
        <v>312</v>
      </c>
      <c r="B117" s="15" t="s">
        <v>306</v>
      </c>
      <c r="C117" s="16" t="n">
        <v>10</v>
      </c>
      <c r="D117" s="16" t="n">
        <v>25</v>
      </c>
      <c r="E117" s="16" t="n">
        <v>60</v>
      </c>
      <c r="F117" s="17"/>
    </row>
    <row r="118" customFormat="false" ht="15" hidden="false" customHeight="false" outlineLevel="0" collapsed="false">
      <c r="A118" s="15" t="s">
        <v>313</v>
      </c>
      <c r="B118" s="15" t="s">
        <v>306</v>
      </c>
      <c r="C118" s="16" t="n">
        <v>10</v>
      </c>
      <c r="D118" s="16" t="n">
        <v>25</v>
      </c>
      <c r="E118" s="16" t="n">
        <v>60</v>
      </c>
      <c r="F118" s="1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7" min="2" style="0" width="16"/>
  </cols>
  <sheetData>
    <row r="1" customFormat="false" ht="17.35" hidden="false" customHeight="false" outlineLevel="0" collapsed="false">
      <c r="A1" s="4" t="s">
        <v>314</v>
      </c>
    </row>
    <row r="3" customFormat="false" ht="23.85" hidden="false" customHeight="false" outlineLevel="0" collapsed="false">
      <c r="A3" s="5" t="s">
        <v>315</v>
      </c>
      <c r="B3" s="5" t="s">
        <v>316</v>
      </c>
      <c r="C3" s="5" t="s">
        <v>317</v>
      </c>
      <c r="D3" s="5" t="s">
        <v>318</v>
      </c>
      <c r="E3" s="5" t="s">
        <v>319</v>
      </c>
      <c r="F3" s="5" t="s">
        <v>320</v>
      </c>
      <c r="G3" s="5" t="s">
        <v>321</v>
      </c>
    </row>
    <row r="4" customFormat="false" ht="15" hidden="false" customHeight="false" outlineLevel="0" collapsed="false">
      <c r="A4" s="0" t="s">
        <v>322</v>
      </c>
      <c r="B4" s="0" t="s">
        <v>323</v>
      </c>
      <c r="C4" s="29" t="n">
        <v>470</v>
      </c>
      <c r="D4" s="31" t="n">
        <v>30</v>
      </c>
      <c r="E4" s="26" t="n">
        <v>380</v>
      </c>
      <c r="F4" s="31" t="n">
        <v>1</v>
      </c>
      <c r="G4" s="32" t="n">
        <f aca="false">C4*E4*F4</f>
        <v>178600</v>
      </c>
    </row>
    <row r="5" customFormat="false" ht="15" hidden="false" customHeight="false" outlineLevel="0" collapsed="false">
      <c r="A5" s="0" t="s">
        <v>324</v>
      </c>
      <c r="B5" s="0" t="s">
        <v>323</v>
      </c>
      <c r="C5" s="29" t="n">
        <v>120</v>
      </c>
      <c r="D5" s="31" t="n">
        <v>60</v>
      </c>
      <c r="E5" s="26" t="n">
        <v>450</v>
      </c>
      <c r="F5" s="31" t="n">
        <v>1</v>
      </c>
      <c r="G5" s="32" t="n">
        <f aca="false">C5*E5*F5</f>
        <v>54000</v>
      </c>
    </row>
    <row r="6" customFormat="false" ht="15" hidden="false" customHeight="false" outlineLevel="0" collapsed="false">
      <c r="A6" s="0" t="s">
        <v>325</v>
      </c>
      <c r="B6" s="0" t="s">
        <v>326</v>
      </c>
      <c r="C6" s="29" t="n">
        <v>200</v>
      </c>
      <c r="D6" s="31" t="n">
        <v>45</v>
      </c>
      <c r="E6" s="26" t="n">
        <v>350</v>
      </c>
      <c r="F6" s="31" t="n">
        <v>1</v>
      </c>
      <c r="G6" s="32" t="n">
        <f aca="false">C6*E6*F6</f>
        <v>70000</v>
      </c>
    </row>
    <row r="7" customFormat="false" ht="15" hidden="false" customHeight="false" outlineLevel="0" collapsed="false">
      <c r="A7" s="0" t="s">
        <v>327</v>
      </c>
      <c r="B7" s="0" t="s">
        <v>328</v>
      </c>
      <c r="C7" s="29" t="n">
        <v>60</v>
      </c>
      <c r="D7" s="31" t="n">
        <v>80</v>
      </c>
      <c r="E7" s="26" t="n">
        <v>1200</v>
      </c>
      <c r="F7" s="31" t="n">
        <v>1</v>
      </c>
      <c r="G7" s="32" t="n">
        <f aca="false">C7*E7*F7</f>
        <v>72000</v>
      </c>
    </row>
    <row r="8" customFormat="false" ht="15" hidden="false" customHeight="false" outlineLevel="0" collapsed="false">
      <c r="A8" s="0" t="s">
        <v>329</v>
      </c>
      <c r="B8" s="0" t="s">
        <v>330</v>
      </c>
      <c r="C8" s="29" t="n">
        <v>100</v>
      </c>
      <c r="D8" s="31" t="n">
        <v>40</v>
      </c>
      <c r="E8" s="26" t="n">
        <v>250</v>
      </c>
      <c r="F8" s="31" t="n">
        <v>1</v>
      </c>
      <c r="G8" s="32" t="n">
        <f aca="false">C8*E8*F8</f>
        <v>25000</v>
      </c>
    </row>
    <row r="9" customFormat="false" ht="15" hidden="false" customHeight="false" outlineLevel="0" collapsed="false">
      <c r="A9" s="0" t="s">
        <v>331</v>
      </c>
      <c r="B9" s="0" t="s">
        <v>332</v>
      </c>
      <c r="C9" s="29" t="n">
        <v>25</v>
      </c>
      <c r="D9" s="31" t="n">
        <v>120</v>
      </c>
      <c r="E9" s="26" t="n">
        <v>900</v>
      </c>
      <c r="F9" s="31" t="n">
        <v>1</v>
      </c>
      <c r="G9" s="32" t="n">
        <f aca="false">C9*E9*F9</f>
        <v>22500</v>
      </c>
    </row>
    <row r="10" customFormat="false" ht="15" hidden="false" customHeight="false" outlineLevel="0" collapsed="false">
      <c r="A10" s="0" t="s">
        <v>333</v>
      </c>
      <c r="B10" s="0" t="s">
        <v>326</v>
      </c>
      <c r="C10" s="29" t="n">
        <v>12</v>
      </c>
      <c r="D10" s="31" t="n">
        <v>400</v>
      </c>
      <c r="E10" s="26" t="n">
        <v>6000</v>
      </c>
      <c r="F10" s="31" t="n">
        <v>1</v>
      </c>
      <c r="G10" s="32" t="n">
        <f aca="false">C10*E10*F10</f>
        <v>72000</v>
      </c>
    </row>
    <row r="11" customFormat="false" ht="15" hidden="false" customHeight="false" outlineLevel="0" collapsed="false">
      <c r="A11" s="0" t="s">
        <v>334</v>
      </c>
      <c r="B11" s="0" t="s">
        <v>323</v>
      </c>
      <c r="C11" s="29" t="n">
        <v>8</v>
      </c>
      <c r="D11" s="31" t="n">
        <v>600</v>
      </c>
      <c r="E11" s="26" t="n">
        <v>0</v>
      </c>
      <c r="F11" s="31" t="n">
        <v>0</v>
      </c>
      <c r="G11" s="32" t="n">
        <f aca="false">C11*E11*F11</f>
        <v>0</v>
      </c>
    </row>
    <row r="12" customFormat="false" ht="15" hidden="false" customHeight="false" outlineLevel="0" collapsed="false">
      <c r="A12" s="0" t="s">
        <v>335</v>
      </c>
      <c r="B12" s="0" t="s">
        <v>336</v>
      </c>
      <c r="C12" s="29" t="n">
        <v>6</v>
      </c>
      <c r="D12" s="31" t="n">
        <v>500</v>
      </c>
      <c r="E12" s="26" t="n">
        <v>0</v>
      </c>
      <c r="F12" s="31" t="n">
        <v>0</v>
      </c>
      <c r="G12" s="32" t="n">
        <f aca="false">C12*E12*F12</f>
        <v>0</v>
      </c>
    </row>
    <row r="13" customFormat="false" ht="15" hidden="false" customHeight="false" outlineLevel="0" collapsed="false">
      <c r="A13" s="9" t="s">
        <v>337</v>
      </c>
      <c r="C13" s="33" t="n">
        <f aca="false">SUM(C4:C12)</f>
        <v>1001</v>
      </c>
      <c r="G13" s="34" t="n">
        <f aca="false">SUM(G4:G12)</f>
        <v>494100</v>
      </c>
    </row>
    <row r="14" customFormat="false" ht="15" hidden="false" customHeight="false" outlineLevel="0" collapsed="false">
      <c r="A14" s="0" t="s">
        <v>338</v>
      </c>
      <c r="C14" s="33" t="n">
        <f aca="false">SUMPRODUCT(C4:C12,F4:F12)</f>
        <v>987</v>
      </c>
    </row>
    <row r="15" customFormat="false" ht="15" hidden="false" customHeight="false" outlineLevel="0" collapsed="false">
      <c r="A15" s="0" t="s">
        <v>339</v>
      </c>
      <c r="C15" s="32" t="n">
        <f aca="false">G13/C14</f>
        <v>500.607902735562</v>
      </c>
    </row>
    <row r="16" customFormat="false" ht="15" hidden="false" customHeight="false" outlineLevel="0" collapsed="false">
      <c r="A16" s="0" t="s">
        <v>340</v>
      </c>
      <c r="C16" s="0" t="str">
        <f aca="false">IF(C13=Inputs!$D$7,"OK","MISMATCH")</f>
        <v>OK</v>
      </c>
    </row>
    <row r="18" customFormat="false" ht="31.5" hidden="false" customHeight="true" outlineLevel="0" collapsed="false">
      <c r="A18" s="35" t="s">
        <v>341</v>
      </c>
      <c r="B18" s="35"/>
      <c r="C18" s="35"/>
      <c r="D18" s="35"/>
      <c r="E18" s="35"/>
      <c r="F18" s="35"/>
      <c r="G18" s="35"/>
    </row>
    <row r="19" customFormat="false" ht="31.5" hidden="false" customHeight="true" outlineLevel="0" collapsed="false">
      <c r="A19" s="35" t="s">
        <v>342</v>
      </c>
      <c r="B19" s="35"/>
      <c r="C19" s="35"/>
      <c r="D19" s="35"/>
      <c r="E19" s="35"/>
      <c r="F19" s="35"/>
      <c r="G19" s="35"/>
    </row>
    <row r="20" customFormat="false" ht="31.5" hidden="false" customHeight="true" outlineLevel="0" collapsed="false">
      <c r="A20" s="35" t="s">
        <v>343</v>
      </c>
      <c r="B20" s="35"/>
      <c r="C20" s="35"/>
      <c r="D20" s="35"/>
      <c r="E20" s="35"/>
      <c r="F20" s="35"/>
      <c r="G20" s="35"/>
    </row>
    <row r="21" customFormat="false" ht="31.5" hidden="false" customHeight="true" outlineLevel="0" collapsed="false">
      <c r="A21" s="35" t="s">
        <v>344</v>
      </c>
      <c r="B21" s="35"/>
      <c r="C21" s="35"/>
      <c r="D21" s="35"/>
      <c r="E21" s="35"/>
      <c r="F21" s="35"/>
      <c r="G21" s="35"/>
    </row>
  </sheetData>
  <mergeCells count="4">
    <mergeCell ref="A18:G18"/>
    <mergeCell ref="A19:G19"/>
    <mergeCell ref="A20:G20"/>
    <mergeCell ref="A21:G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s>
  <sheetData>
    <row r="1" customFormat="false" ht="17.35" hidden="false" customHeight="false" outlineLevel="0" collapsed="false">
      <c r="A1" s="4" t="s">
        <v>345</v>
      </c>
    </row>
    <row r="3" customFormat="false" ht="15" hidden="false" customHeight="false" outlineLevel="0" collapsed="false">
      <c r="A3" s="5" t="s">
        <v>346</v>
      </c>
      <c r="C3" s="5" t="s">
        <v>110</v>
      </c>
      <c r="D3" s="5" t="s">
        <v>111</v>
      </c>
      <c r="E3" s="5" t="s">
        <v>112</v>
      </c>
      <c r="F3" s="5" t="s">
        <v>113</v>
      </c>
      <c r="G3" s="5" t="s">
        <v>114</v>
      </c>
      <c r="H3" s="5" t="s">
        <v>115</v>
      </c>
      <c r="I3" s="5" t="s">
        <v>116</v>
      </c>
    </row>
    <row r="4" customFormat="false" ht="15" hidden="false" customHeight="false" outlineLevel="0" collapsed="false">
      <c r="A4" s="9" t="s">
        <v>347</v>
      </c>
    </row>
    <row r="5" customFormat="false" ht="15" hidden="false" customHeight="false" outlineLevel="0" collapsed="false">
      <c r="A5" s="0" t="s">
        <v>348</v>
      </c>
      <c r="C5" s="18" t="n">
        <v>0.44</v>
      </c>
      <c r="D5" s="18" t="n">
        <v>0.62</v>
      </c>
      <c r="E5" s="18" t="n">
        <v>0.78</v>
      </c>
      <c r="F5" s="18" t="n">
        <v>0.91</v>
      </c>
      <c r="G5" s="18" t="n">
        <v>1</v>
      </c>
      <c r="H5" s="18" t="n">
        <v>1.03</v>
      </c>
      <c r="I5" s="18" t="n">
        <v>1.05</v>
      </c>
    </row>
    <row r="6" customFormat="false" ht="15" hidden="false" customHeight="false" outlineLevel="0" collapsed="false">
      <c r="A6" s="0" t="s">
        <v>349</v>
      </c>
      <c r="C6" s="18" t="n">
        <v>0.49</v>
      </c>
      <c r="D6" s="18" t="n">
        <v>0.66</v>
      </c>
      <c r="E6" s="18" t="n">
        <v>0.8</v>
      </c>
      <c r="F6" s="18" t="n">
        <v>0.92</v>
      </c>
      <c r="G6" s="18" t="n">
        <v>1</v>
      </c>
      <c r="H6" s="18" t="n">
        <v>1.04</v>
      </c>
      <c r="I6" s="18" t="n">
        <v>1.07</v>
      </c>
    </row>
    <row r="7" customFormat="false" ht="15" hidden="false" customHeight="false" outlineLevel="0" collapsed="false">
      <c r="A7" s="0" t="s">
        <v>350</v>
      </c>
      <c r="C7" s="18" t="n">
        <v>0.3</v>
      </c>
      <c r="D7" s="18" t="n">
        <v>0.55</v>
      </c>
      <c r="E7" s="18" t="n">
        <v>0.75</v>
      </c>
      <c r="F7" s="18" t="n">
        <v>0.9</v>
      </c>
      <c r="G7" s="18" t="n">
        <v>1</v>
      </c>
      <c r="H7" s="18" t="n">
        <v>1.05</v>
      </c>
      <c r="I7" s="18" t="n">
        <v>1.08</v>
      </c>
    </row>
    <row r="9" customFormat="false" ht="15" hidden="false" customHeight="false" outlineLevel="0" collapsed="false">
      <c r="A9" s="9" t="s">
        <v>351</v>
      </c>
    </row>
    <row r="10" customFormat="false" ht="15" hidden="false" customHeight="false" outlineLevel="0" collapsed="false">
      <c r="A10" s="0" t="s">
        <v>348</v>
      </c>
      <c r="C10" s="21" t="n">
        <v>0.3</v>
      </c>
      <c r="D10" s="21" t="n">
        <v>0.45</v>
      </c>
      <c r="E10" s="21" t="n">
        <v>0.55</v>
      </c>
      <c r="F10" s="21" t="n">
        <v>0.65</v>
      </c>
      <c r="G10" s="21" t="n">
        <v>0.72</v>
      </c>
      <c r="H10" s="21" t="n">
        <v>0.76</v>
      </c>
      <c r="I10" s="21" t="n">
        <v>0.8</v>
      </c>
    </row>
    <row r="11" customFormat="false" ht="15" hidden="false" customHeight="false" outlineLevel="0" collapsed="false">
      <c r="A11" s="0" t="s">
        <v>349</v>
      </c>
      <c r="C11" s="21" t="n">
        <v>0.45</v>
      </c>
      <c r="D11" s="21" t="n">
        <v>0.7</v>
      </c>
      <c r="E11" s="21" t="n">
        <v>0.85</v>
      </c>
      <c r="F11" s="21" t="n">
        <v>0.92</v>
      </c>
      <c r="G11" s="21" t="n">
        <v>0.95</v>
      </c>
      <c r="H11" s="21" t="n">
        <v>0.95</v>
      </c>
      <c r="I11" s="21" t="n">
        <v>0.95</v>
      </c>
    </row>
    <row r="12" customFormat="false" ht="15" hidden="false" customHeight="false" outlineLevel="0" collapsed="false">
      <c r="A12" s="0" t="s">
        <v>350</v>
      </c>
      <c r="C12" s="21" t="n">
        <v>0.6</v>
      </c>
      <c r="D12" s="21" t="n">
        <v>0.85</v>
      </c>
      <c r="E12" s="21" t="n">
        <v>0.95</v>
      </c>
      <c r="F12" s="21" t="n">
        <v>1</v>
      </c>
      <c r="G12" s="21" t="n">
        <v>1</v>
      </c>
      <c r="H12" s="21" t="n">
        <v>1</v>
      </c>
      <c r="I12" s="21" t="n">
        <v>1</v>
      </c>
    </row>
    <row r="14" customFormat="false" ht="15" hidden="false" customHeight="false" outlineLevel="0" collapsed="false">
      <c r="A14" s="9" t="s">
        <v>352</v>
      </c>
    </row>
    <row r="15" customFormat="false" ht="15" hidden="false" customHeight="false" outlineLevel="0" collapsed="false">
      <c r="A15" s="0" t="s">
        <v>348</v>
      </c>
      <c r="C15" s="21" t="n">
        <v>0.3</v>
      </c>
      <c r="D15" s="21" t="n">
        <v>0.4</v>
      </c>
      <c r="E15" s="21" t="n">
        <v>0.45</v>
      </c>
      <c r="F15" s="21" t="n">
        <v>0.5</v>
      </c>
      <c r="G15" s="21" t="n">
        <v>0.5</v>
      </c>
      <c r="H15" s="21" t="n">
        <v>0.5</v>
      </c>
      <c r="I15" s="21" t="n">
        <v>0.5</v>
      </c>
    </row>
    <row r="16" customFormat="false" ht="15" hidden="false" customHeight="false" outlineLevel="0" collapsed="false">
      <c r="A16" s="0" t="s">
        <v>349</v>
      </c>
      <c r="C16" s="21" t="n">
        <v>0.5</v>
      </c>
      <c r="D16" s="21" t="n">
        <v>0.72</v>
      </c>
      <c r="E16" s="21" t="n">
        <v>0.82</v>
      </c>
      <c r="F16" s="21" t="n">
        <v>0.85</v>
      </c>
      <c r="G16" s="21" t="n">
        <v>0.85</v>
      </c>
      <c r="H16" s="21" t="n">
        <v>0.85</v>
      </c>
      <c r="I16" s="21" t="n">
        <v>0.85</v>
      </c>
    </row>
    <row r="17" customFormat="false" ht="15" hidden="false" customHeight="false" outlineLevel="0" collapsed="false">
      <c r="A17" s="0" t="s">
        <v>350</v>
      </c>
      <c r="C17" s="21" t="n">
        <v>0.75</v>
      </c>
      <c r="D17" s="21" t="n">
        <v>0.88</v>
      </c>
      <c r="E17" s="21" t="n">
        <v>0.93</v>
      </c>
      <c r="F17" s="21" t="n">
        <v>0.95</v>
      </c>
      <c r="G17" s="21" t="n">
        <v>0.95</v>
      </c>
      <c r="H17" s="21" t="n">
        <v>0.95</v>
      </c>
      <c r="I17" s="21" t="n">
        <v>0.95</v>
      </c>
    </row>
    <row r="19" customFormat="false" ht="15" hidden="false" customHeight="false" outlineLevel="0" collapsed="false">
      <c r="A19" s="9" t="s">
        <v>353</v>
      </c>
    </row>
    <row r="20" customFormat="false" ht="15" hidden="false" customHeight="false" outlineLevel="0" collapsed="false">
      <c r="A20" s="0" t="s">
        <v>348</v>
      </c>
      <c r="C20" s="21" t="n">
        <v>0.25</v>
      </c>
      <c r="D20" s="21" t="n">
        <v>0.32</v>
      </c>
      <c r="E20" s="21" t="n">
        <v>0.35</v>
      </c>
      <c r="F20" s="21" t="n">
        <v>0.35</v>
      </c>
      <c r="G20" s="21" t="n">
        <v>0.35</v>
      </c>
      <c r="H20" s="21" t="n">
        <v>0.35</v>
      </c>
      <c r="I20" s="21" t="n">
        <v>0.35</v>
      </c>
    </row>
    <row r="21" customFormat="false" ht="15" hidden="false" customHeight="false" outlineLevel="0" collapsed="false">
      <c r="A21" s="0" t="s">
        <v>349</v>
      </c>
      <c r="C21" s="21" t="n">
        <v>0.45</v>
      </c>
      <c r="D21" s="21" t="n">
        <v>0.68</v>
      </c>
      <c r="E21" s="21" t="n">
        <v>0.78</v>
      </c>
      <c r="F21" s="21" t="n">
        <v>0.82</v>
      </c>
      <c r="G21" s="21" t="n">
        <v>0.85</v>
      </c>
      <c r="H21" s="21" t="n">
        <v>0.85</v>
      </c>
      <c r="I21" s="21" t="n">
        <v>0.85</v>
      </c>
    </row>
    <row r="22" customFormat="false" ht="15" hidden="false" customHeight="false" outlineLevel="0" collapsed="false">
      <c r="A22" s="0" t="s">
        <v>350</v>
      </c>
      <c r="C22" s="21" t="n">
        <v>0.7</v>
      </c>
      <c r="D22" s="21" t="n">
        <v>0.85</v>
      </c>
      <c r="E22" s="21" t="n">
        <v>0.92</v>
      </c>
      <c r="F22" s="21" t="n">
        <v>0.95</v>
      </c>
      <c r="G22" s="21" t="n">
        <v>0.95</v>
      </c>
      <c r="H22" s="21" t="n">
        <v>0.95</v>
      </c>
      <c r="I22" s="21" t="n">
        <v>0.95</v>
      </c>
    </row>
    <row r="24" customFormat="false" ht="28.35" hidden="false" customHeight="true" outlineLevel="0" collapsed="false">
      <c r="A24" s="35" t="s">
        <v>354</v>
      </c>
      <c r="B24" s="35"/>
      <c r="C24" s="35"/>
      <c r="D24" s="35"/>
      <c r="E24" s="35"/>
      <c r="F24" s="35"/>
      <c r="G24" s="35"/>
      <c r="H24" s="35"/>
    </row>
  </sheetData>
  <mergeCells count="1">
    <mergeCell ref="A24:H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0"/>
    <col collapsed="false" customWidth="true" hidden="false" outlineLevel="0" max="10" min="3" style="0" width="14"/>
  </cols>
  <sheetData>
    <row r="1" customFormat="false" ht="17.35" hidden="false" customHeight="false" outlineLevel="0" collapsed="false">
      <c r="A1" s="4" t="s">
        <v>355</v>
      </c>
    </row>
    <row r="3" customFormat="false" ht="15" hidden="false" customHeight="false" outlineLevel="0" collapsed="false">
      <c r="A3" s="5" t="s">
        <v>109</v>
      </c>
      <c r="B3" s="5" t="s">
        <v>356</v>
      </c>
      <c r="C3" s="5" t="s">
        <v>357</v>
      </c>
      <c r="D3" s="5" t="s">
        <v>110</v>
      </c>
      <c r="E3" s="5" t="s">
        <v>111</v>
      </c>
      <c r="F3" s="5" t="s">
        <v>112</v>
      </c>
      <c r="G3" s="5" t="s">
        <v>113</v>
      </c>
      <c r="H3" s="5" t="s">
        <v>114</v>
      </c>
      <c r="I3" s="5" t="s">
        <v>115</v>
      </c>
      <c r="J3" s="5" t="s">
        <v>116</v>
      </c>
    </row>
    <row r="4" customFormat="false" ht="15" hidden="false" customHeight="false" outlineLevel="0" collapsed="false">
      <c r="A4" s="6" t="s">
        <v>358</v>
      </c>
      <c r="B4" s="7"/>
      <c r="C4" s="7"/>
      <c r="D4" s="7"/>
      <c r="E4" s="7"/>
      <c r="F4" s="7"/>
      <c r="G4" s="7"/>
      <c r="H4" s="7"/>
      <c r="I4" s="7"/>
      <c r="J4" s="7"/>
    </row>
    <row r="5" customFormat="false" ht="15" hidden="false" customHeight="false" outlineLevel="0" collapsed="false">
      <c r="A5" s="0" t="s">
        <v>359</v>
      </c>
      <c r="D5" s="33" t="n">
        <f aca="false">1</f>
        <v>1</v>
      </c>
      <c r="E5" s="33" t="n">
        <f aca="false">2</f>
        <v>2</v>
      </c>
      <c r="F5" s="33" t="n">
        <f aca="false">3</f>
        <v>3</v>
      </c>
      <c r="G5" s="33" t="n">
        <f aca="false">4</f>
        <v>4</v>
      </c>
      <c r="H5" s="33" t="n">
        <f aca="false">5</f>
        <v>5</v>
      </c>
      <c r="I5" s="33" t="n">
        <f aca="false">6</f>
        <v>6</v>
      </c>
      <c r="J5" s="33" t="n">
        <f aca="false">7</f>
        <v>7</v>
      </c>
    </row>
    <row r="6" customFormat="false" ht="15" hidden="false" customHeight="false" outlineLevel="0" collapsed="false">
      <c r="A6" s="0" t="s">
        <v>360</v>
      </c>
      <c r="D6" s="36" t="n">
        <f aca="false">Curves!C5</f>
        <v>0.44</v>
      </c>
      <c r="E6" s="36" t="n">
        <f aca="false">Curves!D5</f>
        <v>0.62</v>
      </c>
      <c r="F6" s="36" t="n">
        <f aca="false">Curves!E5</f>
        <v>0.78</v>
      </c>
      <c r="G6" s="36" t="n">
        <f aca="false">Curves!F5</f>
        <v>0.91</v>
      </c>
      <c r="H6" s="36" t="n">
        <f aca="false">Curves!G5</f>
        <v>1</v>
      </c>
      <c r="I6" s="36" t="n">
        <f aca="false">Curves!H5</f>
        <v>1.03</v>
      </c>
      <c r="J6" s="36" t="n">
        <f aca="false">Curves!I5</f>
        <v>1.05</v>
      </c>
    </row>
    <row r="7" customFormat="false" ht="15" hidden="false" customHeight="false" outlineLevel="0" collapsed="false">
      <c r="A7" s="0" t="s">
        <v>361</v>
      </c>
      <c r="D7" s="33" t="n">
        <f aca="false">Inputs!$C$12*D6</f>
        <v>456.72</v>
      </c>
      <c r="E7" s="33" t="n">
        <f aca="false">Inputs!$C$12*E6</f>
        <v>643.56</v>
      </c>
      <c r="F7" s="33" t="n">
        <f aca="false">Inputs!$C$12*F6</f>
        <v>809.64</v>
      </c>
      <c r="G7" s="33" t="n">
        <f aca="false">Inputs!$C$12*G6</f>
        <v>944.58</v>
      </c>
      <c r="H7" s="33" t="n">
        <f aca="false">Inputs!$C$12*H6</f>
        <v>1038</v>
      </c>
      <c r="I7" s="33" t="n">
        <f aca="false">Inputs!$C$12*I6</f>
        <v>1069.14</v>
      </c>
      <c r="J7" s="33" t="n">
        <f aca="false">Inputs!$C$12*J6</f>
        <v>1089.9</v>
      </c>
    </row>
    <row r="8" customFormat="false" ht="15" hidden="false" customHeight="false" outlineLevel="0" collapsed="false">
      <c r="A8" s="0" t="s">
        <v>24</v>
      </c>
      <c r="D8" s="33" t="n">
        <f aca="false">Inputs!$C$13*D6</f>
        <v>2310</v>
      </c>
      <c r="E8" s="33" t="n">
        <f aca="false">Inputs!$C$13*E6</f>
        <v>3255</v>
      </c>
      <c r="F8" s="33" t="n">
        <f aca="false">Inputs!$C$13*F6</f>
        <v>4095</v>
      </c>
      <c r="G8" s="33" t="n">
        <f aca="false">Inputs!$C$13*G6</f>
        <v>4777.5</v>
      </c>
      <c r="H8" s="33" t="n">
        <f aca="false">Inputs!$C$13*H6</f>
        <v>5250</v>
      </c>
      <c r="I8" s="33" t="n">
        <f aca="false">Inputs!$C$13*I6</f>
        <v>5407.5</v>
      </c>
      <c r="J8" s="33" t="n">
        <f aca="false">Inputs!$C$13*J6</f>
        <v>5512.5</v>
      </c>
    </row>
    <row r="9" customFormat="false" ht="15" hidden="false" customHeight="false" outlineLevel="0" collapsed="false">
      <c r="A9" s="0" t="s">
        <v>25</v>
      </c>
      <c r="D9" s="33" t="n">
        <f aca="false">Inputs!$C$14*D6</f>
        <v>79.2</v>
      </c>
      <c r="E9" s="33" t="n">
        <f aca="false">Inputs!$C$14*E6</f>
        <v>111.6</v>
      </c>
      <c r="F9" s="33" t="n">
        <f aca="false">Inputs!$C$14*F6</f>
        <v>140.4</v>
      </c>
      <c r="G9" s="33" t="n">
        <f aca="false">Inputs!$C$14*G6</f>
        <v>163.8</v>
      </c>
      <c r="H9" s="33" t="n">
        <f aca="false">Inputs!$C$14*H6</f>
        <v>180</v>
      </c>
      <c r="I9" s="33" t="n">
        <f aca="false">Inputs!$C$14*I6</f>
        <v>185.4</v>
      </c>
      <c r="J9" s="33" t="n">
        <f aca="false">Inputs!$C$14*J6</f>
        <v>189</v>
      </c>
    </row>
    <row r="10" customFormat="false" ht="15" hidden="false" customHeight="false" outlineLevel="0" collapsed="false">
      <c r="A10" s="0" t="s">
        <v>362</v>
      </c>
      <c r="D10" s="33" t="n">
        <f aca="false">Inputs!$C$16</f>
        <v>917</v>
      </c>
      <c r="E10" s="33" t="n">
        <f aca="false">D15</f>
        <v>1097.91437060683</v>
      </c>
      <c r="F10" s="33" t="n">
        <f aca="false">E15</f>
        <v>1369.34196929379</v>
      </c>
      <c r="G10" s="33" t="n">
        <f aca="false">F15</f>
        <v>1711.82696517517</v>
      </c>
      <c r="H10" s="33" t="n">
        <f aca="false">G15</f>
        <v>2101.68414873355</v>
      </c>
      <c r="I10" s="33" t="n">
        <f aca="false">H15</f>
        <v>2511.35829691754</v>
      </c>
      <c r="J10" s="33" t="n">
        <f aca="false">I15</f>
        <v>2903.87048678937</v>
      </c>
    </row>
    <row r="11" customFormat="false" ht="15" hidden="false" customHeight="false" outlineLevel="0" collapsed="false">
      <c r="A11" s="0" t="s">
        <v>26</v>
      </c>
      <c r="D11" s="33" t="n">
        <f aca="false">D10*Inputs!$C$15</f>
        <v>151.555157307845</v>
      </c>
      <c r="E11" s="33" t="n">
        <f aca="false">E10*Inputs!$C$15</f>
        <v>181.455381840636</v>
      </c>
      <c r="F11" s="33" t="n">
        <f aca="false">F10*Inputs!$C$15</f>
        <v>226.314980986429</v>
      </c>
      <c r="G11" s="33" t="n">
        <f aca="false">G10*Inputs!$C$15</f>
        <v>282.918435104617</v>
      </c>
      <c r="H11" s="33" t="n">
        <f aca="false">H10*Inputs!$C$15</f>
        <v>347.351223307217</v>
      </c>
      <c r="I11" s="33" t="n">
        <f aca="false">I10*Inputs!$C$15</f>
        <v>415.059216734678</v>
      </c>
      <c r="J11" s="33" t="n">
        <f aca="false">J10*Inputs!$C$15</f>
        <v>479.930805263874</v>
      </c>
    </row>
    <row r="12" customFormat="false" ht="15" hidden="false" customHeight="false" outlineLevel="0" collapsed="false">
      <c r="A12" s="9" t="s">
        <v>363</v>
      </c>
      <c r="D12" s="37" t="n">
        <f aca="false">D7+D8+D9+D11</f>
        <v>2997.47515730785</v>
      </c>
      <c r="E12" s="37" t="n">
        <f aca="false">E7+E8+E9+E11</f>
        <v>4191.61538184064</v>
      </c>
      <c r="F12" s="37" t="n">
        <f aca="false">F7+F8+F9+F11</f>
        <v>5271.35498098643</v>
      </c>
      <c r="G12" s="37" t="n">
        <f aca="false">G7+G8+G9+G11</f>
        <v>6168.79843510462</v>
      </c>
      <c r="H12" s="37" t="n">
        <f aca="false">H7+H8+H9+H11</f>
        <v>6815.35122330722</v>
      </c>
      <c r="I12" s="37" t="n">
        <f aca="false">I7+I8+I9+I11</f>
        <v>7077.09921673468</v>
      </c>
      <c r="J12" s="37" t="n">
        <f aca="false">J7+J8+J9+J11</f>
        <v>7271.33080526387</v>
      </c>
    </row>
    <row r="13" customFormat="false" ht="15" hidden="false" customHeight="false" outlineLevel="0" collapsed="false">
      <c r="A13" s="0" t="s">
        <v>28</v>
      </c>
      <c r="D13" s="33" t="n">
        <f aca="false">D12*52</f>
        <v>155868.708180008</v>
      </c>
      <c r="E13" s="33" t="n">
        <f aca="false">E12*52</f>
        <v>217963.999855713</v>
      </c>
      <c r="F13" s="33" t="n">
        <f aca="false">F12*52</f>
        <v>274110.459011294</v>
      </c>
      <c r="G13" s="33" t="n">
        <f aca="false">G12*52</f>
        <v>320777.51862544</v>
      </c>
      <c r="H13" s="33" t="n">
        <f aca="false">H12*52</f>
        <v>354398.263611975</v>
      </c>
      <c r="I13" s="33" t="n">
        <f aca="false">I12*52</f>
        <v>368009.159270203</v>
      </c>
      <c r="J13" s="33" t="n">
        <f aca="false">J12*52</f>
        <v>378109.201873721</v>
      </c>
    </row>
    <row r="14" customFormat="false" ht="15" hidden="false" customHeight="false" outlineLevel="0" collapsed="false">
      <c r="A14" s="0" t="s">
        <v>29</v>
      </c>
      <c r="D14" s="33" t="n">
        <f aca="false">D13*Inputs!$C$17*Inputs!$C$18</f>
        <v>272.614370606834</v>
      </c>
      <c r="E14" s="33" t="n">
        <f aca="false">E13*Inputs!$C$17*Inputs!$C$18</f>
        <v>381.219035747642</v>
      </c>
      <c r="F14" s="33" t="n">
        <f aca="false">F13*Inputs!$C$17*Inputs!$C$18</f>
        <v>479.419192810754</v>
      </c>
      <c r="G14" s="33" t="n">
        <f aca="false">G13*Inputs!$C$17*Inputs!$C$18</f>
        <v>561.039880075895</v>
      </c>
      <c r="H14" s="33" t="n">
        <f aca="false">H13*Inputs!$C$17*Inputs!$C$18</f>
        <v>619.842563057345</v>
      </c>
      <c r="I14" s="33" t="n">
        <f aca="false">I13*Inputs!$C$17*Inputs!$C$18</f>
        <v>643.648019563585</v>
      </c>
      <c r="J14" s="33" t="n">
        <f aca="false">J13*Inputs!$C$17*Inputs!$C$18</f>
        <v>661.312994077139</v>
      </c>
    </row>
    <row r="15" customFormat="false" ht="15" hidden="false" customHeight="false" outlineLevel="0" collapsed="false">
      <c r="A15" s="9" t="s">
        <v>364</v>
      </c>
      <c r="D15" s="37" t="n">
        <f aca="false">MIN(Inputs!$C$20,D10*(1-Inputs!$C$19)+D14)</f>
        <v>1097.91437060683</v>
      </c>
      <c r="E15" s="37" t="n">
        <f aca="false">MIN(Inputs!$C$20,E10*(1-Inputs!$C$19)+E14)</f>
        <v>1369.34196929379</v>
      </c>
      <c r="F15" s="37" t="n">
        <f aca="false">MIN(Inputs!$C$20,F10*(1-Inputs!$C$19)+F14)</f>
        <v>1711.82696517517</v>
      </c>
      <c r="G15" s="37" t="n">
        <f aca="false">MIN(Inputs!$C$20,G10*(1-Inputs!$C$19)+G14)</f>
        <v>2101.68414873355</v>
      </c>
      <c r="H15" s="37" t="n">
        <f aca="false">MIN(Inputs!$C$20,H10*(1-Inputs!$C$19)+H14)</f>
        <v>2511.35829691754</v>
      </c>
      <c r="I15" s="37" t="n">
        <f aca="false">MIN(Inputs!$C$20,I10*(1-Inputs!$C$19)+I14)</f>
        <v>2903.87048678937</v>
      </c>
      <c r="J15" s="37" t="n">
        <f aca="false">MIN(Inputs!$C$20,J10*(1-Inputs!$C$19)+J14)</f>
        <v>3274.79643218757</v>
      </c>
    </row>
    <row r="16" customFormat="false" ht="15" hidden="false" customHeight="false" outlineLevel="0" collapsed="false">
      <c r="A16" s="0" t="s">
        <v>365</v>
      </c>
      <c r="D16" s="33" t="n">
        <f aca="false">D15*Inputs!$C$47</f>
        <v>24.1541161533503</v>
      </c>
      <c r="E16" s="33" t="n">
        <f aca="false">E15*Inputs!$C$47</f>
        <v>30.1255233244634</v>
      </c>
      <c r="F16" s="33" t="n">
        <f aca="false">F15*Inputs!$C$47</f>
        <v>37.6601932338537</v>
      </c>
      <c r="G16" s="33" t="n">
        <f aca="false">G15*Inputs!$C$47</f>
        <v>46.237051272138</v>
      </c>
      <c r="H16" s="33" t="n">
        <f aca="false">H15*Inputs!$C$47</f>
        <v>55.2498825321858</v>
      </c>
      <c r="I16" s="33" t="n">
        <f aca="false">I15*Inputs!$C$47</f>
        <v>63.8851507093661</v>
      </c>
      <c r="J16" s="33" t="n">
        <f aca="false">J15*Inputs!$C$47</f>
        <v>72.0455215081265</v>
      </c>
    </row>
    <row r="17" customFormat="false" ht="15" hidden="false" customHeight="false" outlineLevel="0" collapsed="false">
      <c r="A17" s="6" t="s">
        <v>366</v>
      </c>
      <c r="B17" s="7"/>
      <c r="C17" s="7"/>
      <c r="D17" s="7"/>
      <c r="E17" s="7"/>
      <c r="F17" s="7"/>
      <c r="G17" s="7"/>
      <c r="H17" s="7"/>
      <c r="I17" s="7"/>
      <c r="J17" s="7"/>
    </row>
    <row r="18" customFormat="false" ht="15" hidden="false" customHeight="false" outlineLevel="0" collapsed="false">
      <c r="A18" s="0" t="s">
        <v>367</v>
      </c>
      <c r="D18" s="32" t="n">
        <f aca="false">0</f>
        <v>0</v>
      </c>
      <c r="E18" s="32" t="n">
        <f aca="false">D23</f>
        <v>878.331496485467</v>
      </c>
      <c r="F18" s="32" t="n">
        <f aca="false">E23</f>
        <v>1165.74009515387</v>
      </c>
      <c r="G18" s="32" t="n">
        <f aca="false">F23</f>
        <v>1462.72077975245</v>
      </c>
      <c r="H18" s="32" t="n">
        <f aca="false">G23</f>
        <v>1798.36498136703</v>
      </c>
      <c r="I18" s="32" t="n">
        <f aca="false">H23</f>
        <v>2152.95583604339</v>
      </c>
      <c r="J18" s="32" t="n">
        <f aca="false">I23</f>
        <v>2495.33285631497</v>
      </c>
    </row>
    <row r="19" customFormat="false" ht="15" hidden="false" customHeight="false" outlineLevel="0" collapsed="false">
      <c r="A19" s="0" t="s">
        <v>368</v>
      </c>
      <c r="D19" s="32" t="n">
        <f aca="false">D15*Inputs!$C$38</f>
        <v>10979.1437060683</v>
      </c>
      <c r="E19" s="32" t="n">
        <f aca="false">E15*Inputs!$C$38</f>
        <v>13693.4196929379</v>
      </c>
      <c r="F19" s="32" t="n">
        <f aca="false">F15*Inputs!$C$38</f>
        <v>17118.2696517517</v>
      </c>
      <c r="G19" s="32" t="n">
        <f aca="false">G15*Inputs!$C$38</f>
        <v>21016.8414873355</v>
      </c>
      <c r="H19" s="32" t="n">
        <f aca="false">H15*Inputs!$C$38</f>
        <v>25113.5829691754</v>
      </c>
      <c r="I19" s="32" t="n">
        <f aca="false">I15*Inputs!$C$38</f>
        <v>29038.7048678937</v>
      </c>
      <c r="J19" s="32" t="n">
        <f aca="false">J15*Inputs!$C$38</f>
        <v>32747.9643218757</v>
      </c>
    </row>
    <row r="20" customFormat="false" ht="15" hidden="false" customHeight="false" outlineLevel="0" collapsed="false">
      <c r="A20" s="0" t="s">
        <v>369</v>
      </c>
      <c r="D20" s="32" t="n">
        <f aca="false">D18+D19</f>
        <v>10979.1437060683</v>
      </c>
      <c r="E20" s="32" t="n">
        <f aca="false">E18+E19</f>
        <v>14571.7511894234</v>
      </c>
      <c r="F20" s="32" t="n">
        <f aca="false">F18+F19</f>
        <v>18284.0097469055</v>
      </c>
      <c r="G20" s="32" t="n">
        <f aca="false">G18+G19</f>
        <v>22479.5622670879</v>
      </c>
      <c r="H20" s="32" t="n">
        <f aca="false">H18+H19</f>
        <v>26911.9479505424</v>
      </c>
      <c r="I20" s="32" t="n">
        <f aca="false">I18+I19</f>
        <v>31191.6607039371</v>
      </c>
      <c r="J20" s="32" t="n">
        <f aca="false">J18+J19</f>
        <v>35243.2971781907</v>
      </c>
    </row>
    <row r="21" customFormat="false" ht="15" hidden="false" customHeight="false" outlineLevel="0" collapsed="false">
      <c r="A21" s="0" t="s">
        <v>370</v>
      </c>
      <c r="D21" s="32" t="n">
        <f aca="false">-D20*Inputs!$C$39</f>
        <v>-9002.89783897604</v>
      </c>
      <c r="E21" s="32" t="n">
        <f aca="false">-E20*Inputs!$C$39</f>
        <v>-11948.8359753272</v>
      </c>
      <c r="F21" s="32" t="n">
        <f aca="false">-F20*Inputs!$C$39</f>
        <v>-14992.8879924625</v>
      </c>
      <c r="G21" s="32" t="n">
        <f aca="false">-G20*Inputs!$C$39</f>
        <v>-18433.2410590121</v>
      </c>
      <c r="H21" s="32" t="n">
        <f aca="false">-H20*Inputs!$C$39</f>
        <v>-22067.7973194448</v>
      </c>
      <c r="I21" s="32" t="n">
        <f aca="false">-I20*Inputs!$C$39</f>
        <v>-25577.1617772284</v>
      </c>
      <c r="J21" s="32" t="n">
        <f aca="false">-J20*Inputs!$C$39</f>
        <v>-28899.5036861163</v>
      </c>
    </row>
    <row r="22" customFormat="false" ht="15" hidden="false" customHeight="false" outlineLevel="0" collapsed="false">
      <c r="A22" s="0" t="s">
        <v>371</v>
      </c>
      <c r="D22" s="32" t="n">
        <f aca="false">-D20*Inputs!$C$40</f>
        <v>-1097.91437060683</v>
      </c>
      <c r="E22" s="32" t="n">
        <f aca="false">-E20*Inputs!$C$40</f>
        <v>-1457.17511894234</v>
      </c>
      <c r="F22" s="32" t="n">
        <f aca="false">-F20*Inputs!$C$40</f>
        <v>-1828.40097469056</v>
      </c>
      <c r="G22" s="32" t="n">
        <f aca="false">-G20*Inputs!$C$40</f>
        <v>-2247.95622670879</v>
      </c>
      <c r="H22" s="32" t="n">
        <f aca="false">-H20*Inputs!$C$40</f>
        <v>-2691.19479505424</v>
      </c>
      <c r="I22" s="32" t="n">
        <f aca="false">-I20*Inputs!$C$40</f>
        <v>-3119.16607039371</v>
      </c>
      <c r="J22" s="32" t="n">
        <f aca="false">-J20*Inputs!$C$40</f>
        <v>-3524.32971781907</v>
      </c>
    </row>
    <row r="23" customFormat="false" ht="15" hidden="false" customHeight="false" outlineLevel="0" collapsed="false">
      <c r="A23" s="9" t="s">
        <v>372</v>
      </c>
      <c r="D23" s="34" t="n">
        <f aca="false">D20+D21+D22</f>
        <v>878.331496485467</v>
      </c>
      <c r="E23" s="34" t="n">
        <f aca="false">E20+E21+E22</f>
        <v>1165.74009515387</v>
      </c>
      <c r="F23" s="34" t="n">
        <f aca="false">F20+F21+F22</f>
        <v>1462.72077975245</v>
      </c>
      <c r="G23" s="34" t="n">
        <f aca="false">G20+G21+G22</f>
        <v>1798.36498136703</v>
      </c>
      <c r="H23" s="34" t="n">
        <f aca="false">H20+H21+H22</f>
        <v>2152.95583604339</v>
      </c>
      <c r="I23" s="34" t="n">
        <f aca="false">I20+I21+I22</f>
        <v>2495.33285631497</v>
      </c>
      <c r="J23" s="34" t="n">
        <f aca="false">J20+J21+J22</f>
        <v>2819.46377425525</v>
      </c>
    </row>
    <row r="24" customFormat="false" ht="15" hidden="false" customHeight="false" outlineLevel="0" collapsed="false">
      <c r="A24" s="6" t="s">
        <v>373</v>
      </c>
      <c r="B24" s="7"/>
      <c r="C24" s="7"/>
      <c r="D24" s="7"/>
      <c r="E24" s="7"/>
      <c r="F24" s="7"/>
      <c r="G24" s="7"/>
      <c r="H24" s="7"/>
      <c r="I24" s="7"/>
      <c r="J24" s="7"/>
    </row>
    <row r="25" customFormat="false" ht="15" hidden="false" customHeight="false" outlineLevel="0" collapsed="false">
      <c r="A25" s="0" t="s">
        <v>374</v>
      </c>
      <c r="D25" s="32" t="n">
        <f aca="false">Positions!$G$13*Inputs!$C$23</f>
        <v>444690</v>
      </c>
      <c r="E25" s="32" t="n">
        <f aca="false">Positions!$G$13*Inputs!$C$23</f>
        <v>444690</v>
      </c>
      <c r="F25" s="32" t="n">
        <f aca="false">Positions!$G$13*Inputs!$C$23</f>
        <v>444690</v>
      </c>
      <c r="G25" s="32" t="n">
        <f aca="false">Positions!$G$13*Inputs!$C$23</f>
        <v>444690</v>
      </c>
      <c r="H25" s="32" t="n">
        <f aca="false">Positions!$G$13*Inputs!$C$23</f>
        <v>444690</v>
      </c>
      <c r="I25" s="32" t="n">
        <f aca="false">Positions!$G$13*Inputs!$C$23</f>
        <v>444690</v>
      </c>
      <c r="J25" s="32" t="n">
        <f aca="false">Positions!$G$13*Inputs!$C$23</f>
        <v>444690</v>
      </c>
    </row>
    <row r="26" customFormat="false" ht="15" hidden="false" customHeight="false" outlineLevel="0" collapsed="false">
      <c r="A26" s="0" t="s">
        <v>338</v>
      </c>
      <c r="D26" s="33" t="n">
        <f aca="false">Positions!$C$14</f>
        <v>987</v>
      </c>
      <c r="E26" s="33" t="n">
        <f aca="false">Positions!$C$14</f>
        <v>987</v>
      </c>
      <c r="F26" s="33" t="n">
        <f aca="false">Positions!$C$14</f>
        <v>987</v>
      </c>
      <c r="G26" s="33" t="n">
        <f aca="false">Positions!$C$14</f>
        <v>987</v>
      </c>
      <c r="H26" s="33" t="n">
        <f aca="false">Positions!$C$14</f>
        <v>987</v>
      </c>
      <c r="I26" s="33" t="n">
        <f aca="false">Positions!$C$14</f>
        <v>987</v>
      </c>
      <c r="J26" s="33" t="n">
        <f aca="false">Positions!$C$14</f>
        <v>987</v>
      </c>
    </row>
    <row r="27" customFormat="false" ht="15" hidden="false" customHeight="false" outlineLevel="0" collapsed="false">
      <c r="A27" s="0" t="s">
        <v>375</v>
      </c>
      <c r="D27" s="36" t="n">
        <f aca="false">Curves!C10</f>
        <v>0.3</v>
      </c>
      <c r="E27" s="36" t="n">
        <f aca="false">Curves!D10</f>
        <v>0.45</v>
      </c>
      <c r="F27" s="36" t="n">
        <f aca="false">Curves!E10</f>
        <v>0.55</v>
      </c>
      <c r="G27" s="36" t="n">
        <f aca="false">Curves!F10</f>
        <v>0.65</v>
      </c>
      <c r="H27" s="36" t="n">
        <f aca="false">Curves!G10</f>
        <v>0.72</v>
      </c>
      <c r="I27" s="36" t="n">
        <f aca="false">Curves!H10</f>
        <v>0.76</v>
      </c>
      <c r="J27" s="36" t="n">
        <f aca="false">Curves!I10</f>
        <v>0.8</v>
      </c>
    </row>
    <row r="28" customFormat="false" ht="15" hidden="false" customHeight="false" outlineLevel="0" collapsed="false">
      <c r="A28" s="0" t="s">
        <v>36</v>
      </c>
      <c r="D28" s="33" t="n">
        <f aca="false">D26*Inputs!$C$24*D27</f>
        <v>88.83</v>
      </c>
      <c r="E28" s="33" t="n">
        <f aca="false">E26*Inputs!$C$24*E27</f>
        <v>133.245</v>
      </c>
      <c r="F28" s="33" t="n">
        <f aca="false">F26*Inputs!$C$24*F27</f>
        <v>162.855</v>
      </c>
      <c r="G28" s="33" t="n">
        <f aca="false">G26*Inputs!$C$24*G27</f>
        <v>192.465</v>
      </c>
      <c r="H28" s="33" t="n">
        <f aca="false">H26*Inputs!$C$24*H27</f>
        <v>213.192</v>
      </c>
      <c r="I28" s="33" t="n">
        <f aca="false">I26*Inputs!$C$24*I27</f>
        <v>225.036</v>
      </c>
      <c r="J28" s="33" t="n">
        <f aca="false">J26*Inputs!$C$24*J27</f>
        <v>236.88</v>
      </c>
    </row>
    <row r="29" customFormat="false" ht="15" hidden="false" customHeight="false" outlineLevel="0" collapsed="false">
      <c r="A29" s="0" t="s">
        <v>376</v>
      </c>
      <c r="D29" s="33" t="n">
        <f aca="false">D26*Inputs!$C$25*D27</f>
        <v>29.61</v>
      </c>
      <c r="E29" s="33" t="n">
        <f aca="false">E26*Inputs!$C$25*E27</f>
        <v>44.415</v>
      </c>
      <c r="F29" s="33" t="n">
        <f aca="false">F26*Inputs!$C$25*F27</f>
        <v>54.285</v>
      </c>
      <c r="G29" s="33" t="n">
        <f aca="false">G26*Inputs!$C$25*G27</f>
        <v>64.155</v>
      </c>
      <c r="H29" s="33" t="n">
        <f aca="false">H26*Inputs!$C$25*H27</f>
        <v>71.064</v>
      </c>
      <c r="I29" s="33" t="n">
        <f aca="false">I26*Inputs!$C$25*I27</f>
        <v>75.012</v>
      </c>
      <c r="J29" s="33" t="n">
        <f aca="false">J26*Inputs!$C$25*J27</f>
        <v>78.96</v>
      </c>
    </row>
    <row r="30" customFormat="false" ht="15" hidden="false" customHeight="false" outlineLevel="0" collapsed="false">
      <c r="A30" s="0" t="s">
        <v>377</v>
      </c>
      <c r="D30" s="33" t="n">
        <f aca="false">D26-D28-D29</f>
        <v>868.56</v>
      </c>
      <c r="E30" s="33" t="n">
        <f aca="false">E26-E28-E29</f>
        <v>809.34</v>
      </c>
      <c r="F30" s="33" t="n">
        <f aca="false">F26-F28-F29</f>
        <v>769.86</v>
      </c>
      <c r="G30" s="33" t="n">
        <f aca="false">G26-G28-G29</f>
        <v>730.38</v>
      </c>
      <c r="H30" s="33" t="n">
        <f aca="false">H26-H28-H29</f>
        <v>702.744</v>
      </c>
      <c r="I30" s="33" t="n">
        <f aca="false">I26-I28-I29</f>
        <v>686.952</v>
      </c>
      <c r="J30" s="33" t="n">
        <f aca="false">J26-J28-J29</f>
        <v>671.16</v>
      </c>
    </row>
    <row r="31" customFormat="false" ht="15" hidden="false" customHeight="false" outlineLevel="0" collapsed="false">
      <c r="A31" s="0" t="s">
        <v>378</v>
      </c>
      <c r="D31" s="36" t="n">
        <f aca="false">Curves!C15</f>
        <v>0.3</v>
      </c>
      <c r="E31" s="36" t="n">
        <f aca="false">Curves!D15</f>
        <v>0.4</v>
      </c>
      <c r="F31" s="36" t="n">
        <f aca="false">Curves!E15</f>
        <v>0.45</v>
      </c>
      <c r="G31" s="36" t="n">
        <f aca="false">Curves!F15</f>
        <v>0.5</v>
      </c>
      <c r="H31" s="36" t="n">
        <f aca="false">Curves!G15</f>
        <v>0.5</v>
      </c>
      <c r="I31" s="36" t="n">
        <f aca="false">Curves!H15</f>
        <v>0.5</v>
      </c>
      <c r="J31" s="36" t="n">
        <f aca="false">Curves!I15</f>
        <v>0.5</v>
      </c>
    </row>
    <row r="32" customFormat="false" ht="15" hidden="false" customHeight="false" outlineLevel="0" collapsed="false">
      <c r="A32" s="0" t="s">
        <v>379</v>
      </c>
      <c r="D32" s="36" t="n">
        <f aca="false">Curves!C20</f>
        <v>0.25</v>
      </c>
      <c r="E32" s="36" t="n">
        <f aca="false">Curves!D20</f>
        <v>0.32</v>
      </c>
      <c r="F32" s="36" t="n">
        <f aca="false">Curves!E20</f>
        <v>0.35</v>
      </c>
      <c r="G32" s="36" t="n">
        <f aca="false">Curves!F20</f>
        <v>0.35</v>
      </c>
      <c r="H32" s="36" t="n">
        <f aca="false">Curves!G20</f>
        <v>0.35</v>
      </c>
      <c r="I32" s="36" t="n">
        <f aca="false">Curves!H20</f>
        <v>0.35</v>
      </c>
      <c r="J32" s="36" t="n">
        <f aca="false">Curves!I20</f>
        <v>0.35</v>
      </c>
    </row>
    <row r="33" customFormat="false" ht="15" hidden="false" customHeight="false" outlineLevel="0" collapsed="false">
      <c r="A33" s="9" t="s">
        <v>380</v>
      </c>
      <c r="D33" s="37" t="n">
        <f aca="false">D28+D29*D31+D30*D32</f>
        <v>314.853</v>
      </c>
      <c r="E33" s="37" t="n">
        <f aca="false">E28+E29*E31+E30*E32</f>
        <v>409.9998</v>
      </c>
      <c r="F33" s="37" t="n">
        <f aca="false">F28+F29*F31+F30*F32</f>
        <v>456.73425</v>
      </c>
      <c r="G33" s="37" t="n">
        <f aca="false">G28+G29*G31+G30*G32</f>
        <v>480.1755</v>
      </c>
      <c r="H33" s="37" t="n">
        <f aca="false">H28+H29*H31+H30*H32</f>
        <v>494.6844</v>
      </c>
      <c r="I33" s="37" t="n">
        <f aca="false">I28+I29*I31+I30*I32</f>
        <v>502.9752</v>
      </c>
      <c r="J33" s="37" t="n">
        <f aca="false">J28+J29*J31+J30*J32</f>
        <v>511.266</v>
      </c>
    </row>
    <row r="34" customFormat="false" ht="15" hidden="false" customHeight="false" outlineLevel="0" collapsed="false">
      <c r="A34" s="0" t="s">
        <v>381</v>
      </c>
      <c r="D34" s="36" t="n">
        <f aca="false">D33/D26</f>
        <v>0.319</v>
      </c>
      <c r="E34" s="36" t="n">
        <f aca="false">E33/E26</f>
        <v>0.4154</v>
      </c>
      <c r="F34" s="36" t="n">
        <f aca="false">F33/F26</f>
        <v>0.46275</v>
      </c>
      <c r="G34" s="36" t="n">
        <f aca="false">G33/G26</f>
        <v>0.4865</v>
      </c>
      <c r="H34" s="36" t="n">
        <f aca="false">H33/H26</f>
        <v>0.5012</v>
      </c>
      <c r="I34" s="36" t="n">
        <f aca="false">I33/I26</f>
        <v>0.5096</v>
      </c>
      <c r="J34" s="36" t="n">
        <f aca="false">J33/J26</f>
        <v>0.518</v>
      </c>
    </row>
    <row r="35" customFormat="false" ht="15" hidden="false" customHeight="false" outlineLevel="0" collapsed="false">
      <c r="A35" s="0" t="s">
        <v>382</v>
      </c>
      <c r="D35" s="32" t="n">
        <f aca="false">D25/D26</f>
        <v>450.547112462006</v>
      </c>
      <c r="E35" s="32" t="n">
        <f aca="false">E25/E26</f>
        <v>450.547112462006</v>
      </c>
      <c r="F35" s="32" t="n">
        <f aca="false">F25/F26</f>
        <v>450.547112462006</v>
      </c>
      <c r="G35" s="32" t="n">
        <f aca="false">G25/G26</f>
        <v>450.547112462006</v>
      </c>
      <c r="H35" s="32" t="n">
        <f aca="false">H25/H26</f>
        <v>450.547112462006</v>
      </c>
      <c r="I35" s="32" t="n">
        <f aca="false">I25/I26</f>
        <v>450.547112462006</v>
      </c>
      <c r="J35" s="32" t="n">
        <f aca="false">J25/J26</f>
        <v>450.547112462006</v>
      </c>
    </row>
    <row r="36" customFormat="false" ht="15" hidden="false" customHeight="false" outlineLevel="0" collapsed="false">
      <c r="A36" s="0" t="s">
        <v>383</v>
      </c>
      <c r="D36" s="32" t="n">
        <f aca="false">D29*D35*12*Inputs!$C$26*D31</f>
        <v>76842.432</v>
      </c>
      <c r="E36" s="32" t="n">
        <f aca="false">E29*E35*12*Inputs!$C$26*E31</f>
        <v>153684.864</v>
      </c>
      <c r="F36" s="32" t="n">
        <f aca="false">F29*F35*12*Inputs!$C$26*F31</f>
        <v>211316.688</v>
      </c>
      <c r="G36" s="32" t="n">
        <f aca="false">G29*G35*12*Inputs!$C$26*G31</f>
        <v>277486.56</v>
      </c>
      <c r="H36" s="32" t="n">
        <f aca="false">H29*H35*12*Inputs!$C$26*H31</f>
        <v>307369.728</v>
      </c>
      <c r="I36" s="32" t="n">
        <f aca="false">I29*I35*12*Inputs!$C$26*I31</f>
        <v>324445.824</v>
      </c>
      <c r="J36" s="32" t="n">
        <f aca="false">J29*J35*12*Inputs!$C$26*J31</f>
        <v>341521.92</v>
      </c>
    </row>
    <row r="37" customFormat="false" ht="15" hidden="false" customHeight="false" outlineLevel="0" collapsed="false">
      <c r="A37" s="0" t="s">
        <v>384</v>
      </c>
      <c r="D37" s="32" t="n">
        <f aca="false">D36*Inputs!$C$27</f>
        <v>53789.7024</v>
      </c>
      <c r="E37" s="32" t="n">
        <f aca="false">E36*Inputs!$C$27</f>
        <v>107579.4048</v>
      </c>
      <c r="F37" s="32" t="n">
        <f aca="false">F36*Inputs!$C$27</f>
        <v>147921.6816</v>
      </c>
      <c r="G37" s="32" t="n">
        <f aca="false">G36*Inputs!$C$27</f>
        <v>194240.592</v>
      </c>
      <c r="H37" s="32" t="n">
        <f aca="false">H36*Inputs!$C$27</f>
        <v>215158.8096</v>
      </c>
      <c r="I37" s="32" t="n">
        <f aca="false">I36*Inputs!$C$27</f>
        <v>227112.0768</v>
      </c>
      <c r="J37" s="32" t="n">
        <f aca="false">J36*Inputs!$C$27</f>
        <v>239065.344</v>
      </c>
    </row>
    <row r="38" customFormat="false" ht="15" hidden="false" customHeight="false" outlineLevel="0" collapsed="false">
      <c r="A38" s="0" t="s">
        <v>385</v>
      </c>
      <c r="D38" s="32" t="n">
        <f aca="false">IF(D29&gt;0,D37/D29-D35*12,0)</f>
        <v>-3589.95939209726</v>
      </c>
      <c r="E38" s="32" t="n">
        <f aca="false">IF(E29&gt;0,E37/E29-E35*12,0)</f>
        <v>-2984.42407294833</v>
      </c>
      <c r="F38" s="32" t="n">
        <f aca="false">IF(F29&gt;0,F37/F29-F35*12,0)</f>
        <v>-2681.65641337386</v>
      </c>
      <c r="G38" s="32" t="n">
        <f aca="false">IF(G29&gt;0,G37/G29-G35*12,0)</f>
        <v>-2378.88875379939</v>
      </c>
      <c r="H38" s="32" t="n">
        <f aca="false">IF(H29&gt;0,H37/H29-H35*12,0)</f>
        <v>-2378.88875379939</v>
      </c>
      <c r="I38" s="32" t="n">
        <f aca="false">IF(I29&gt;0,I37/I29-I35*12,0)</f>
        <v>-2378.88875379939</v>
      </c>
      <c r="J38" s="32" t="n">
        <f aca="false">IF(J29&gt;0,J37/J29-J35*12,0)</f>
        <v>-2378.88875379939</v>
      </c>
    </row>
    <row r="39" customFormat="false" ht="15" hidden="false" customHeight="false" outlineLevel="0" collapsed="false">
      <c r="A39" s="0" t="s">
        <v>386</v>
      </c>
      <c r="D39" s="32" t="n">
        <f aca="false">MAX(0,D38/Inputs!$C$30)</f>
        <v>0</v>
      </c>
      <c r="E39" s="32" t="n">
        <f aca="false">MAX(0,E38/Inputs!$C$30)</f>
        <v>0</v>
      </c>
      <c r="F39" s="32" t="n">
        <f aca="false">MAX(0,F38/Inputs!$C$30)</f>
        <v>0</v>
      </c>
      <c r="G39" s="32" t="n">
        <f aca="false">MAX(0,G38/Inputs!$C$30)</f>
        <v>0</v>
      </c>
      <c r="H39" s="32" t="n">
        <f aca="false">MAX(0,H38/Inputs!$C$30)</f>
        <v>0</v>
      </c>
      <c r="I39" s="32" t="n">
        <f aca="false">MAX(0,I38/Inputs!$C$30)</f>
        <v>0</v>
      </c>
      <c r="J39" s="32" t="n">
        <f aca="false">MAX(0,J38/Inputs!$C$30)</f>
        <v>0</v>
      </c>
    </row>
    <row r="40" customFormat="false" ht="15" hidden="false" customHeight="false" outlineLevel="0" collapsed="false">
      <c r="A40" s="6" t="s">
        <v>387</v>
      </c>
      <c r="B40" s="7"/>
      <c r="C40" s="7"/>
      <c r="D40" s="7"/>
      <c r="E40" s="7"/>
      <c r="F40" s="7"/>
      <c r="G40" s="7"/>
      <c r="H40" s="7"/>
      <c r="I40" s="7"/>
      <c r="J40" s="7"/>
    </row>
    <row r="41" customFormat="false" ht="15" hidden="false" customHeight="false" outlineLevel="0" collapsed="false">
      <c r="A41" s="0" t="s">
        <v>45</v>
      </c>
      <c r="B41" s="0" t="s">
        <v>388</v>
      </c>
      <c r="D41" s="32" t="n">
        <f aca="false">D28*D35*12</f>
        <v>480265.2</v>
      </c>
      <c r="E41" s="32" t="n">
        <f aca="false">E28*E35*12</f>
        <v>720397.8</v>
      </c>
      <c r="F41" s="32" t="n">
        <f aca="false">F28*F35*12</f>
        <v>880486.2</v>
      </c>
      <c r="G41" s="32" t="n">
        <f aca="false">G28*G35*12</f>
        <v>1040574.6</v>
      </c>
      <c r="H41" s="32" t="n">
        <f aca="false">H28*H35*12</f>
        <v>1152636.48</v>
      </c>
      <c r="I41" s="32" t="n">
        <f aca="false">I28*I35*12</f>
        <v>1216671.84</v>
      </c>
      <c r="J41" s="32" t="n">
        <f aca="false">J28*J35*12</f>
        <v>1280707.2</v>
      </c>
    </row>
    <row r="42" customFormat="false" ht="15" hidden="false" customHeight="false" outlineLevel="0" collapsed="false">
      <c r="A42" s="0" t="s">
        <v>46</v>
      </c>
      <c r="B42" s="0" t="s">
        <v>388</v>
      </c>
      <c r="D42" s="32" t="n">
        <f aca="false">D29*D35*12</f>
        <v>160088.4</v>
      </c>
      <c r="E42" s="32" t="n">
        <f aca="false">E29*E35*12</f>
        <v>240132.6</v>
      </c>
      <c r="F42" s="32" t="n">
        <f aca="false">F29*F35*12</f>
        <v>293495.4</v>
      </c>
      <c r="G42" s="32" t="n">
        <f aca="false">G29*G35*12</f>
        <v>346858.2</v>
      </c>
      <c r="H42" s="32" t="n">
        <f aca="false">H29*H35*12</f>
        <v>384212.16</v>
      </c>
      <c r="I42" s="32" t="n">
        <f aca="false">I29*I35*12</f>
        <v>405557.28</v>
      </c>
      <c r="J42" s="32" t="n">
        <f aca="false">J29*J35*12</f>
        <v>426902.4</v>
      </c>
    </row>
    <row r="43" customFormat="false" ht="15" hidden="false" customHeight="false" outlineLevel="0" collapsed="false">
      <c r="A43" s="0" t="s">
        <v>47</v>
      </c>
      <c r="B43" s="0" t="s">
        <v>388</v>
      </c>
      <c r="D43" s="32" t="n">
        <f aca="false">D36*(1-Inputs!$C$27)</f>
        <v>23052.7296</v>
      </c>
      <c r="E43" s="32" t="n">
        <f aca="false">E36*(1-Inputs!$C$27)</f>
        <v>46105.4592</v>
      </c>
      <c r="F43" s="32" t="n">
        <f aca="false">F36*(1-Inputs!$C$27)</f>
        <v>63395.0064</v>
      </c>
      <c r="G43" s="32" t="n">
        <f aca="false">G36*(1-Inputs!$C$27)</f>
        <v>83245.968</v>
      </c>
      <c r="H43" s="32" t="n">
        <f aca="false">H36*(1-Inputs!$C$27)</f>
        <v>92210.9184</v>
      </c>
      <c r="I43" s="32" t="n">
        <f aca="false">I36*(1-Inputs!$C$27)</f>
        <v>97333.7472</v>
      </c>
      <c r="J43" s="32" t="n">
        <f aca="false">J36*(1-Inputs!$C$27)</f>
        <v>102456.576</v>
      </c>
    </row>
    <row r="44" customFormat="false" ht="15" hidden="false" customHeight="false" outlineLevel="0" collapsed="false">
      <c r="A44" s="0" t="s">
        <v>48</v>
      </c>
      <c r="B44" s="0" t="s">
        <v>388</v>
      </c>
      <c r="D44" s="32" t="n">
        <f aca="false">D30*D35*12*Inputs!$C$26*D32</f>
        <v>1878370.56</v>
      </c>
      <c r="E44" s="32" t="n">
        <f aca="false">E30*E35*12*Inputs!$C$26*E32</f>
        <v>2240383.7952</v>
      </c>
      <c r="F44" s="32" t="n">
        <f aca="false">F30*F35*12*Inputs!$C$26*F32</f>
        <v>2330887.104</v>
      </c>
      <c r="G44" s="32" t="n">
        <f aca="false">G30*G35*12*Inputs!$C$26*G32</f>
        <v>2211354.432</v>
      </c>
      <c r="H44" s="32" t="n">
        <f aca="false">H30*H35*12*Inputs!$C$26*H32</f>
        <v>2127681.5616</v>
      </c>
      <c r="I44" s="32" t="n">
        <f aca="false">I30*I35*12*Inputs!$C$26*I32</f>
        <v>2079868.4928</v>
      </c>
      <c r="J44" s="32" t="n">
        <f aca="false">J30*J35*12*Inputs!$C$26*J32</f>
        <v>2032055.424</v>
      </c>
    </row>
    <row r="45" customFormat="false" ht="15" hidden="false" customHeight="false" outlineLevel="0" collapsed="false">
      <c r="A45" s="0" t="s">
        <v>49</v>
      </c>
      <c r="B45" s="0" t="s">
        <v>388</v>
      </c>
      <c r="D45" s="32" t="n">
        <f aca="false">Inputs!$C$31*((D28+D29)-0)</f>
        <v>0</v>
      </c>
      <c r="E45" s="32" t="n">
        <f aca="false">Inputs!$C$31*((E28+E29)-(D28+D29))</f>
        <v>0</v>
      </c>
      <c r="F45" s="32" t="n">
        <f aca="false">Inputs!$C$31*((F28+F29)-(E28+E29))</f>
        <v>0</v>
      </c>
      <c r="G45" s="32" t="n">
        <f aca="false">Inputs!$C$31*((G28+G29)-(F28+F29))</f>
        <v>0</v>
      </c>
      <c r="H45" s="32" t="n">
        <f aca="false">Inputs!$C$31*((H28+H29)-(G28+G29))</f>
        <v>0</v>
      </c>
      <c r="I45" s="32" t="n">
        <f aca="false">Inputs!$C$31*((I28+I29)-(H28+H29))</f>
        <v>0</v>
      </c>
      <c r="J45" s="32" t="n">
        <f aca="false">Inputs!$C$31*((J28+J29)-(I28+I29))</f>
        <v>0</v>
      </c>
    </row>
    <row r="46" customFormat="false" ht="15" hidden="false" customHeight="false" outlineLevel="0" collapsed="false">
      <c r="A46" s="0" t="s">
        <v>50</v>
      </c>
      <c r="B46" s="0" t="s">
        <v>388</v>
      </c>
      <c r="D46" s="32" t="n">
        <f aca="false">(D28+D29)*Inputs!$C$29*D39*Inputs!$C$28</f>
        <v>0</v>
      </c>
      <c r="E46" s="32" t="n">
        <f aca="false">(E28+E29)*Inputs!$C$29*E39*Inputs!$C$28</f>
        <v>0</v>
      </c>
      <c r="F46" s="32" t="n">
        <f aca="false">(F28+F29)*Inputs!$C$29*F39*Inputs!$C$28</f>
        <v>0</v>
      </c>
      <c r="G46" s="32" t="n">
        <f aca="false">(G28+G29)*Inputs!$C$29*G39*Inputs!$C$28</f>
        <v>0</v>
      </c>
      <c r="H46" s="32" t="n">
        <f aca="false">(H28+H29)*Inputs!$C$29*H39*Inputs!$C$28</f>
        <v>0</v>
      </c>
      <c r="I46" s="32" t="n">
        <f aca="false">(I28+I29)*Inputs!$C$29*I39*Inputs!$C$28</f>
        <v>0</v>
      </c>
      <c r="J46" s="32" t="n">
        <f aca="false">(J28+J29)*Inputs!$C$29*J39*Inputs!$C$28</f>
        <v>0</v>
      </c>
    </row>
    <row r="47" customFormat="false" ht="15" hidden="false" customHeight="false" outlineLevel="0" collapsed="false">
      <c r="A47" s="0" t="s">
        <v>51</v>
      </c>
      <c r="B47" s="0" t="s">
        <v>388</v>
      </c>
      <c r="D47" s="32" t="n">
        <f aca="false">D33*Inputs!$C$32*MAX(0,MIN(1,(1*12-Inputs!$C$77)/12))</f>
        <v>50376.48</v>
      </c>
      <c r="E47" s="32" t="n">
        <f aca="false">E33*Inputs!$C$32*MAX(0,MIN(1,(2*12-Inputs!$C$77)/12))</f>
        <v>131199.936</v>
      </c>
      <c r="F47" s="32" t="n">
        <f aca="false">F33*Inputs!$C$32*MAX(0,MIN(1,(3*12-Inputs!$C$77)/12))</f>
        <v>146154.96</v>
      </c>
      <c r="G47" s="32" t="n">
        <f aca="false">G33*Inputs!$C$32*MAX(0,MIN(1,(4*12-Inputs!$C$77)/12))</f>
        <v>153656.16</v>
      </c>
      <c r="H47" s="32" t="n">
        <f aca="false">H33*Inputs!$C$32*MAX(0,MIN(1,(5*12-Inputs!$C$77)/12))</f>
        <v>158299.008</v>
      </c>
      <c r="I47" s="32" t="n">
        <f aca="false">I33*Inputs!$C$32*MAX(0,MIN(1,(6*12-Inputs!$C$77)/12))</f>
        <v>160952.064</v>
      </c>
      <c r="J47" s="32" t="n">
        <f aca="false">J33*Inputs!$C$32*MAX(0,MIN(1,(7*12-Inputs!$C$77)/12))</f>
        <v>163605.12</v>
      </c>
    </row>
    <row r="48" customFormat="false" ht="15" hidden="false" customHeight="false" outlineLevel="0" collapsed="false">
      <c r="A48" s="0" t="s">
        <v>52</v>
      </c>
      <c r="B48" s="0" t="s">
        <v>388</v>
      </c>
      <c r="D48" s="32" t="n">
        <f aca="false">D13*Inputs!$C$42</f>
        <v>138041.343617383</v>
      </c>
      <c r="E48" s="32" t="n">
        <f aca="false">E13*Inputs!$C$42</f>
        <v>193034.53368943</v>
      </c>
      <c r="F48" s="32" t="n">
        <f aca="false">F13*Inputs!$C$42</f>
        <v>242759.284421592</v>
      </c>
      <c r="G48" s="32" t="n">
        <f aca="false">G13*Inputs!$C$42</f>
        <v>284088.834701624</v>
      </c>
      <c r="H48" s="32" t="n">
        <f aca="false">H13*Inputs!$C$42</f>
        <v>313864.2326346</v>
      </c>
      <c r="I48" s="32" t="n">
        <f aca="false">I13*Inputs!$C$42</f>
        <v>325918.392487699</v>
      </c>
      <c r="J48" s="32" t="n">
        <f aca="false">J13*Inputs!$C$42</f>
        <v>334863.250425267</v>
      </c>
    </row>
    <row r="49" customFormat="false" ht="15" hidden="false" customHeight="false" outlineLevel="0" collapsed="false">
      <c r="A49" s="0" t="s">
        <v>53</v>
      </c>
      <c r="B49" s="0" t="s">
        <v>388</v>
      </c>
      <c r="D49" s="32" t="n">
        <f aca="false">D13*Inputs!$C$43</f>
        <v>131509.418840535</v>
      </c>
      <c r="E49" s="32" t="n">
        <f aca="false">E13*Inputs!$C$43</f>
        <v>183900.407489615</v>
      </c>
      <c r="F49" s="32" t="n">
        <f aca="false">F13*Inputs!$C$43</f>
        <v>231272.252035712</v>
      </c>
      <c r="G49" s="32" t="n">
        <f aca="false">G13*Inputs!$C$43</f>
        <v>270646.14536243</v>
      </c>
      <c r="H49" s="32" t="n">
        <f aca="false">H13*Inputs!$C$43</f>
        <v>299012.612793846</v>
      </c>
      <c r="I49" s="32" t="n">
        <f aca="false">I13*Inputs!$C$43</f>
        <v>310496.386534022</v>
      </c>
      <c r="J49" s="32" t="n">
        <f aca="false">J13*Inputs!$C$43</f>
        <v>319017.98620956</v>
      </c>
    </row>
    <row r="50" customFormat="false" ht="15" hidden="false" customHeight="false" outlineLevel="0" collapsed="false">
      <c r="A50" s="0" t="s">
        <v>54</v>
      </c>
      <c r="B50" s="0" t="s">
        <v>388</v>
      </c>
      <c r="D50" s="32" t="n">
        <f aca="false">Inputs!$C$45</f>
        <v>50000</v>
      </c>
      <c r="E50" s="32" t="n">
        <f aca="false">Inputs!$C$45</f>
        <v>50000</v>
      </c>
      <c r="F50" s="32" t="n">
        <f aca="false">Inputs!$C$45</f>
        <v>50000</v>
      </c>
      <c r="G50" s="32" t="n">
        <f aca="false">Inputs!$C$45</f>
        <v>50000</v>
      </c>
      <c r="H50" s="32" t="n">
        <f aca="false">Inputs!$C$45</f>
        <v>50000</v>
      </c>
      <c r="I50" s="32" t="n">
        <f aca="false">Inputs!$C$45</f>
        <v>50000</v>
      </c>
      <c r="J50" s="32" t="n">
        <f aca="false">Inputs!$C$45</f>
        <v>50000</v>
      </c>
    </row>
    <row r="51" customFormat="false" ht="15" hidden="false" customHeight="false" outlineLevel="0" collapsed="false">
      <c r="A51" s="9" t="s">
        <v>55</v>
      </c>
      <c r="B51" s="38" t="s">
        <v>388</v>
      </c>
      <c r="D51" s="39" t="n">
        <f aca="false">SUM(D41:D50)</f>
        <v>2911704.13205792</v>
      </c>
      <c r="E51" s="39" t="n">
        <f aca="false">SUM(E41:E50)</f>
        <v>3805154.53157905</v>
      </c>
      <c r="F51" s="39" t="n">
        <f aca="false">SUM(F41:F50)</f>
        <v>4238450.20685731</v>
      </c>
      <c r="G51" s="39" t="n">
        <f aca="false">SUM(G41:G50)</f>
        <v>4440424.34006405</v>
      </c>
      <c r="H51" s="39" t="n">
        <f aca="false">SUM(H41:H50)</f>
        <v>4577916.97342845</v>
      </c>
      <c r="I51" s="39" t="n">
        <f aca="false">SUM(I41:I50)</f>
        <v>4646798.20302172</v>
      </c>
      <c r="J51" s="39" t="n">
        <f aca="false">SUM(J41:J50)</f>
        <v>4709607.95663483</v>
      </c>
    </row>
    <row r="52" customFormat="false" ht="15" hidden="false" customHeight="false" outlineLevel="0" collapsed="false">
      <c r="A52" s="6" t="s">
        <v>389</v>
      </c>
      <c r="B52" s="7"/>
      <c r="C52" s="7"/>
      <c r="D52" s="7"/>
      <c r="E52" s="7"/>
      <c r="F52" s="7"/>
      <c r="G52" s="7"/>
      <c r="H52" s="7"/>
      <c r="I52" s="7"/>
      <c r="J52" s="7"/>
    </row>
    <row r="53" customFormat="false" ht="15" hidden="false" customHeight="false" outlineLevel="0" collapsed="false">
      <c r="A53" s="0" t="s">
        <v>56</v>
      </c>
      <c r="B53" s="0" t="s">
        <v>390</v>
      </c>
      <c r="D53" s="32" t="n">
        <f aca="false">D13*Inputs!$C$35*MAX(0,MIN(1,(1*12-Inputs!$C$77)/12))</f>
        <v>36143.3170985577</v>
      </c>
      <c r="E53" s="32" t="n">
        <f aca="false">E13*Inputs!$C$35*MAX(0,MIN(1,(2*12-Inputs!$C$77)/12))</f>
        <v>101084.329944623</v>
      </c>
      <c r="F53" s="32" t="n">
        <f aca="false">F13*Inputs!$C$35*MAX(0,MIN(1,(3*12-Inputs!$C$77)/12))</f>
        <v>127123.158403736</v>
      </c>
      <c r="G53" s="32" t="n">
        <f aca="false">G13*Inputs!$C$35*MAX(0,MIN(1,(4*12-Inputs!$C$77)/12))</f>
        <v>148765.762020409</v>
      </c>
      <c r="H53" s="32" t="n">
        <f aca="false">H13*Inputs!$C$35*MAX(0,MIN(1,(5*12-Inputs!$C$77)/12))</f>
        <v>164357.926237677</v>
      </c>
      <c r="I53" s="32" t="n">
        <f aca="false">I13*Inputs!$C$35*MAX(0,MIN(1,(6*12-Inputs!$C$77)/12))</f>
        <v>170670.199220688</v>
      </c>
      <c r="J53" s="32" t="n">
        <f aca="false">J13*Inputs!$C$35*MAX(0,MIN(1,(7*12-Inputs!$C$77)/12))</f>
        <v>175354.257320487</v>
      </c>
    </row>
    <row r="54" customFormat="false" ht="15" hidden="false" customHeight="false" outlineLevel="0" collapsed="false">
      <c r="A54" s="0" t="s">
        <v>57</v>
      </c>
      <c r="B54" s="0" t="s">
        <v>390</v>
      </c>
      <c r="D54" s="32" t="n">
        <f aca="false">D13*Inputs!$C$36</f>
        <v>189861.280180376</v>
      </c>
      <c r="E54" s="32" t="n">
        <f aca="false">E13*Inputs!$C$36</f>
        <v>265498.601541299</v>
      </c>
      <c r="F54" s="32" t="n">
        <f aca="false">F13*Inputs!$C$36</f>
        <v>333889.741349572</v>
      </c>
      <c r="G54" s="32" t="n">
        <f aca="false">G13*Inputs!$C$36</f>
        <v>390734.170125893</v>
      </c>
      <c r="H54" s="32" t="n">
        <f aca="false">H13*Inputs!$C$36</f>
        <v>431687.083371248</v>
      </c>
      <c r="I54" s="32" t="n">
        <f aca="false">I13*Inputs!$C$36</f>
        <v>448266.306386867</v>
      </c>
      <c r="J54" s="32" t="n">
        <f aca="false">J13*Inputs!$C$36</f>
        <v>460569.013203206</v>
      </c>
    </row>
    <row r="55" customFormat="false" ht="15" hidden="false" customHeight="false" outlineLevel="0" collapsed="false">
      <c r="A55" s="0" t="s">
        <v>58</v>
      </c>
      <c r="B55" s="0" t="s">
        <v>390</v>
      </c>
      <c r="D55" s="32" t="n">
        <f aca="false">D15*Inputs!$C$37</f>
        <v>3060.69318767337</v>
      </c>
      <c r="E55" s="32" t="n">
        <f aca="false">E15*Inputs!$C$37</f>
        <v>3817.3611250723</v>
      </c>
      <c r="F55" s="32" t="n">
        <f aca="false">F15*Inputs!$C$37</f>
        <v>4772.11818248752</v>
      </c>
      <c r="G55" s="32" t="n">
        <f aca="false">G15*Inputs!$C$37</f>
        <v>5858.93629674823</v>
      </c>
      <c r="H55" s="32" t="n">
        <f aca="false">H15*Inputs!$C$37</f>
        <v>7000.99883648855</v>
      </c>
      <c r="I55" s="32" t="n">
        <f aca="false">I15*Inputs!$C$37</f>
        <v>8095.21840204125</v>
      </c>
      <c r="J55" s="32" t="n">
        <f aca="false">J15*Inputs!$C$37</f>
        <v>9129.26126057865</v>
      </c>
    </row>
    <row r="56" customFormat="false" ht="15" hidden="false" customHeight="false" outlineLevel="0" collapsed="false">
      <c r="A56" s="0" t="s">
        <v>59</v>
      </c>
      <c r="B56" s="0" t="s">
        <v>390</v>
      </c>
      <c r="D56" s="32" t="n">
        <f aca="false">-D22</f>
        <v>1097.91437060683</v>
      </c>
      <c r="E56" s="32" t="n">
        <f aca="false">-E22</f>
        <v>1457.17511894234</v>
      </c>
      <c r="F56" s="32" t="n">
        <f aca="false">-F22</f>
        <v>1828.40097469056</v>
      </c>
      <c r="G56" s="32" t="n">
        <f aca="false">-G22</f>
        <v>2247.95622670879</v>
      </c>
      <c r="H56" s="32" t="n">
        <f aca="false">-H22</f>
        <v>2691.19479505424</v>
      </c>
      <c r="I56" s="32" t="n">
        <f aca="false">-I22</f>
        <v>3119.16607039371</v>
      </c>
      <c r="J56" s="32" t="n">
        <f aca="false">-J22</f>
        <v>3524.32971781907</v>
      </c>
    </row>
    <row r="57" customFormat="false" ht="15" hidden="false" customHeight="false" outlineLevel="0" collapsed="false">
      <c r="A57" s="0" t="s">
        <v>60</v>
      </c>
      <c r="B57" s="0" t="s">
        <v>390</v>
      </c>
      <c r="D57" s="32" t="n">
        <f aca="false">D13*Inputs!$C$41*MAX(0,MIN(1,(1*12-Inputs!$C$78)/12))</f>
        <v>0</v>
      </c>
      <c r="E57" s="32" t="n">
        <f aca="false">E13*Inputs!$C$41*MAX(0,MIN(1,(2*12-Inputs!$C$78)/12))</f>
        <v>0</v>
      </c>
      <c r="F57" s="32" t="n">
        <f aca="false">F13*Inputs!$C$41*MAX(0,MIN(1,(3*12-Inputs!$C$78)/12))</f>
        <v>0</v>
      </c>
      <c r="G57" s="32" t="n">
        <f aca="false">G13*Inputs!$C$41*MAX(0,MIN(1,(4*12-Inputs!$C$78)/12))</f>
        <v>0</v>
      </c>
      <c r="H57" s="32" t="n">
        <f aca="false">H13*Inputs!$C$41*MAX(0,MIN(1,(5*12-Inputs!$C$78)/12))</f>
        <v>0</v>
      </c>
      <c r="I57" s="32" t="n">
        <f aca="false">I13*Inputs!$C$41*MAX(0,MIN(1,(6*12-Inputs!$C$78)/12))</f>
        <v>0</v>
      </c>
      <c r="J57" s="32" t="n">
        <f aca="false">J13*Inputs!$C$41*MAX(0,MIN(1,(7*12-Inputs!$C$78)/12))</f>
        <v>0</v>
      </c>
    </row>
    <row r="58" customFormat="false" ht="15" hidden="false" customHeight="false" outlineLevel="0" collapsed="false">
      <c r="A58" s="0" t="s">
        <v>61</v>
      </c>
      <c r="B58" s="0" t="s">
        <v>390</v>
      </c>
      <c r="D58" s="32" t="n">
        <f aca="false">D13*Inputs!$C$44*MAX(0,MIN(1,(1*12-Inputs!$C$76)/12))</f>
        <v>65319.2477684779</v>
      </c>
      <c r="E58" s="32" t="n">
        <f aca="false">E13*Inputs!$C$44*MAX(0,MIN(1,(2*12-Inputs!$C$76)/12))</f>
        <v>121788.349330871</v>
      </c>
      <c r="F58" s="32" t="n">
        <f aca="false">F13*Inputs!$C$44*MAX(0,MIN(1,(3*12-Inputs!$C$76)/12))</f>
        <v>153160.43181173</v>
      </c>
      <c r="G58" s="32" t="n">
        <f aca="false">G13*Inputs!$C$44*MAX(0,MIN(1,(4*12-Inputs!$C$76)/12))</f>
        <v>179235.857855914</v>
      </c>
      <c r="H58" s="32" t="n">
        <f aca="false">H13*Inputs!$C$44*MAX(0,MIN(1,(5*12-Inputs!$C$76)/12))</f>
        <v>198021.597876719</v>
      </c>
      <c r="I58" s="32" t="n">
        <f aca="false">I13*Inputs!$C$44*MAX(0,MIN(1,(6*12-Inputs!$C$76)/12))</f>
        <v>205626.746049021</v>
      </c>
      <c r="J58" s="32" t="n">
        <f aca="false">J13*Inputs!$C$44*MAX(0,MIN(1,(7*12-Inputs!$C$76)/12))</f>
        <v>211270.189542755</v>
      </c>
    </row>
    <row r="59" customFormat="false" ht="15" hidden="false" customHeight="false" outlineLevel="0" collapsed="false">
      <c r="A59" s="0" t="s">
        <v>62</v>
      </c>
      <c r="B59" s="0" t="s">
        <v>390</v>
      </c>
      <c r="D59" s="40" t="n">
        <f aca="false">Inputs!$C$57*Inputs!$C$62*MAX(0,MIN(1,(1*12-Inputs!$C$80)/12))</f>
        <v>15000</v>
      </c>
      <c r="E59" s="40" t="n">
        <f aca="false">Inputs!$C$57*Inputs!$C$62*MAX(0,MIN(1,(2*12-Inputs!$C$80)/12))</f>
        <v>20000</v>
      </c>
      <c r="F59" s="40" t="n">
        <f aca="false">Inputs!$C$57*Inputs!$C$62*MAX(0,MIN(1,(3*12-Inputs!$C$80)/12))</f>
        <v>20000</v>
      </c>
      <c r="G59" s="40" t="n">
        <f aca="false">Inputs!$C$57*Inputs!$C$62*MAX(0,MIN(1,(4*12-Inputs!$C$80)/12))</f>
        <v>20000</v>
      </c>
      <c r="H59" s="40" t="n">
        <f aca="false">Inputs!$C$57*Inputs!$C$62*MAX(0,MIN(1,(5*12-Inputs!$C$80)/12))</f>
        <v>20000</v>
      </c>
      <c r="I59" s="40" t="n">
        <f aca="false">Inputs!$C$57*Inputs!$C$62*MAX(0,MIN(1,(6*12-Inputs!$C$80)/12))</f>
        <v>20000</v>
      </c>
      <c r="J59" s="40" t="n">
        <f aca="false">Inputs!$C$57*Inputs!$C$62*MAX(0,MIN(1,(7*12-Inputs!$C$80)/12))</f>
        <v>20000</v>
      </c>
    </row>
    <row r="60" customFormat="false" ht="15" hidden="false" customHeight="false" outlineLevel="0" collapsed="false">
      <c r="A60" s="0" t="s">
        <v>63</v>
      </c>
      <c r="B60" s="0" t="s">
        <v>390</v>
      </c>
      <c r="D60" s="40" t="n">
        <f aca="false">Inputs!$C$57*D13*Inputs!$C$60*Inputs!$C$61*MAX(0,MIN(1,(1*12-Inputs!$C$80)/12))</f>
        <v>5845.0765567503</v>
      </c>
      <c r="E60" s="40" t="n">
        <f aca="false">Inputs!$C$57*E13*Inputs!$C$60*Inputs!$C$61*MAX(0,MIN(1,(2*12-Inputs!$C$80)/12))</f>
        <v>10898.1999927857</v>
      </c>
      <c r="F60" s="40" t="n">
        <f aca="false">Inputs!$C$57*F13*Inputs!$C$60*Inputs!$C$61*MAX(0,MIN(1,(3*12-Inputs!$C$80)/12))</f>
        <v>13705.5229505647</v>
      </c>
      <c r="G60" s="40" t="n">
        <f aca="false">Inputs!$C$57*G13*Inputs!$C$60*Inputs!$C$61*MAX(0,MIN(1,(4*12-Inputs!$C$80)/12))</f>
        <v>16038.875931272</v>
      </c>
      <c r="H60" s="40" t="n">
        <f aca="false">Inputs!$C$57*H13*Inputs!$C$60*Inputs!$C$61*MAX(0,MIN(1,(5*12-Inputs!$C$80)/12))</f>
        <v>17719.9131805988</v>
      </c>
      <c r="I60" s="40" t="n">
        <f aca="false">Inputs!$C$57*I13*Inputs!$C$60*Inputs!$C$61*MAX(0,MIN(1,(6*12-Inputs!$C$80)/12))</f>
        <v>18400.4579635102</v>
      </c>
      <c r="J60" s="40" t="n">
        <f aca="false">Inputs!$C$57*J13*Inputs!$C$60*Inputs!$C$61*MAX(0,MIN(1,(7*12-Inputs!$C$80)/12))</f>
        <v>18905.4600936861</v>
      </c>
    </row>
    <row r="61" customFormat="false" ht="15" hidden="false" customHeight="false" outlineLevel="0" collapsed="false">
      <c r="A61" s="9" t="s">
        <v>64</v>
      </c>
      <c r="B61" s="38" t="s">
        <v>390</v>
      </c>
      <c r="D61" s="39" t="n">
        <f aca="false">SUM(D53:D60)</f>
        <v>316327.529162442</v>
      </c>
      <c r="E61" s="39" t="n">
        <f aca="false">SUM(E53:E60)</f>
        <v>524544.017053593</v>
      </c>
      <c r="F61" s="39" t="n">
        <f aca="false">SUM(F53:F60)</f>
        <v>654479.373672781</v>
      </c>
      <c r="G61" s="39" t="n">
        <f aca="false">SUM(G53:G60)</f>
        <v>762881.558456944</v>
      </c>
      <c r="H61" s="39" t="n">
        <f aca="false">SUM(H53:H60)</f>
        <v>841478.714297786</v>
      </c>
      <c r="I61" s="39" t="n">
        <f aca="false">SUM(I53:I60)</f>
        <v>874178.094092521</v>
      </c>
      <c r="J61" s="39" t="n">
        <f aca="false">SUM(J53:J60)</f>
        <v>898752.511138532</v>
      </c>
    </row>
    <row r="62" customFormat="false" ht="15" hidden="false" customHeight="false" outlineLevel="0" collapsed="false">
      <c r="A62" s="9" t="s">
        <v>65</v>
      </c>
      <c r="D62" s="34" t="n">
        <f aca="false">D51+D61</f>
        <v>3228031.66122036</v>
      </c>
      <c r="E62" s="34" t="n">
        <f aca="false">E51+E61</f>
        <v>4329698.54863264</v>
      </c>
      <c r="F62" s="34" t="n">
        <f aca="false">F51+F61</f>
        <v>4892929.58053009</v>
      </c>
      <c r="G62" s="34" t="n">
        <f aca="false">G51+G61</f>
        <v>5203305.898521</v>
      </c>
      <c r="H62" s="34" t="n">
        <f aca="false">H51+H61</f>
        <v>5419395.68772623</v>
      </c>
      <c r="I62" s="34" t="n">
        <f aca="false">I51+I61</f>
        <v>5520976.29711424</v>
      </c>
      <c r="J62" s="34" t="n">
        <f aca="false">J51+J61</f>
        <v>5608360.46777336</v>
      </c>
    </row>
    <row r="63" customFormat="false" ht="15" hidden="false" customHeight="false" outlineLevel="0" collapsed="false">
      <c r="A63" s="6" t="s">
        <v>391</v>
      </c>
      <c r="B63" s="7"/>
      <c r="C63" s="7"/>
      <c r="D63" s="7"/>
      <c r="E63" s="7"/>
      <c r="F63" s="7"/>
      <c r="G63" s="7"/>
      <c r="H63" s="7"/>
      <c r="I63" s="7"/>
      <c r="J63" s="7"/>
    </row>
    <row r="64" customFormat="false" ht="15" hidden="false" customHeight="false" outlineLevel="0" collapsed="false">
      <c r="A64" s="0" t="s">
        <v>392</v>
      </c>
      <c r="D64" s="32" t="n">
        <f aca="false">-Inputs!$C$83</f>
        <v>-2800000</v>
      </c>
      <c r="E64" s="32" t="n">
        <f aca="false">-Inputs!$C$83</f>
        <v>-2800000</v>
      </c>
      <c r="F64" s="32" t="n">
        <f aca="false">-Inputs!$C$83</f>
        <v>-2800000</v>
      </c>
      <c r="G64" s="32" t="n">
        <f aca="false">-Inputs!$C$83</f>
        <v>-2800000</v>
      </c>
      <c r="H64" s="32" t="n">
        <f aca="false">-Inputs!$C$83</f>
        <v>-2800000</v>
      </c>
      <c r="I64" s="32" t="n">
        <f aca="false">-Inputs!$C$83</f>
        <v>-2800000</v>
      </c>
      <c r="J64" s="32" t="n">
        <f aca="false">-Inputs!$C$83</f>
        <v>-2800000</v>
      </c>
    </row>
    <row r="65" customFormat="false" ht="15" hidden="false" customHeight="false" outlineLevel="0" collapsed="false">
      <c r="A65" s="0" t="s">
        <v>270</v>
      </c>
      <c r="D65" s="32" t="n">
        <f aca="false">-Inputs!$C$84*Inputs!$C$6</f>
        <v>-600000</v>
      </c>
      <c r="E65" s="32" t="n">
        <f aca="false">-Inputs!$C$84*Inputs!$C$6</f>
        <v>-600000</v>
      </c>
      <c r="F65" s="32" t="n">
        <f aca="false">-Inputs!$C$84*Inputs!$C$6</f>
        <v>-600000</v>
      </c>
      <c r="G65" s="32" t="n">
        <f aca="false">-Inputs!$C$84*Inputs!$C$6</f>
        <v>-600000</v>
      </c>
      <c r="H65" s="32" t="n">
        <f aca="false">-Inputs!$C$84*Inputs!$C$6</f>
        <v>-600000</v>
      </c>
      <c r="I65" s="32" t="n">
        <f aca="false">-Inputs!$C$84*Inputs!$C$6</f>
        <v>-600000</v>
      </c>
      <c r="J65" s="32" t="n">
        <f aca="false">-Inputs!$C$84*Inputs!$C$6</f>
        <v>-600000</v>
      </c>
    </row>
    <row r="66" customFormat="false" ht="15" hidden="false" customHeight="false" outlineLevel="0" collapsed="false">
      <c r="A66" s="0" t="s">
        <v>393</v>
      </c>
      <c r="D66" s="32" t="n">
        <f aca="false">-Inputs!$C$85</f>
        <v>-150000</v>
      </c>
      <c r="E66" s="32" t="n">
        <f aca="false">-Inputs!$C$85</f>
        <v>-150000</v>
      </c>
      <c r="F66" s="32" t="n">
        <f aca="false">-Inputs!$C$85</f>
        <v>-150000</v>
      </c>
      <c r="G66" s="32" t="n">
        <f aca="false">-Inputs!$C$85</f>
        <v>-150000</v>
      </c>
      <c r="H66" s="32" t="n">
        <f aca="false">-Inputs!$C$85</f>
        <v>-150000</v>
      </c>
      <c r="I66" s="32" t="n">
        <f aca="false">-Inputs!$C$85</f>
        <v>-150000</v>
      </c>
      <c r="J66" s="32" t="n">
        <f aca="false">-Inputs!$C$85</f>
        <v>-150000</v>
      </c>
    </row>
    <row r="67" customFormat="false" ht="15" hidden="false" customHeight="false" outlineLevel="0" collapsed="false">
      <c r="A67" s="0" t="s">
        <v>394</v>
      </c>
      <c r="D67" s="32" t="n">
        <f aca="false">-Inputs!$C$86</f>
        <v>-250000</v>
      </c>
      <c r="E67" s="32" t="n">
        <f aca="false">-Inputs!$C$86</f>
        <v>-250000</v>
      </c>
      <c r="F67" s="32" t="n">
        <f aca="false">-Inputs!$C$86</f>
        <v>-250000</v>
      </c>
      <c r="G67" s="32" t="n">
        <f aca="false">-Inputs!$C$86</f>
        <v>-250000</v>
      </c>
      <c r="H67" s="32" t="n">
        <f aca="false">-Inputs!$C$86</f>
        <v>-250000</v>
      </c>
      <c r="I67" s="32" t="n">
        <f aca="false">-Inputs!$C$86</f>
        <v>-250000</v>
      </c>
      <c r="J67" s="32" t="n">
        <f aca="false">-Inputs!$C$86</f>
        <v>-250000</v>
      </c>
    </row>
    <row r="68" customFormat="false" ht="15" hidden="false" customHeight="false" outlineLevel="0" collapsed="false">
      <c r="A68" s="0" t="s">
        <v>273</v>
      </c>
      <c r="D68" s="32" t="n">
        <f aca="false">-Inputs!$C$87</f>
        <v>-200000</v>
      </c>
      <c r="E68" s="32" t="n">
        <f aca="false">-Inputs!$C$87</f>
        <v>-200000</v>
      </c>
      <c r="F68" s="32" t="n">
        <f aca="false">-Inputs!$C$87</f>
        <v>-200000</v>
      </c>
      <c r="G68" s="32" t="n">
        <f aca="false">-Inputs!$C$87</f>
        <v>-200000</v>
      </c>
      <c r="H68" s="32" t="n">
        <f aca="false">-Inputs!$C$87</f>
        <v>-200000</v>
      </c>
      <c r="I68" s="32" t="n">
        <f aca="false">-Inputs!$C$87</f>
        <v>-200000</v>
      </c>
      <c r="J68" s="32" t="n">
        <f aca="false">-Inputs!$C$87</f>
        <v>-200000</v>
      </c>
    </row>
    <row r="69" customFormat="false" ht="15" hidden="false" customHeight="false" outlineLevel="0" collapsed="false">
      <c r="A69" s="0" t="s">
        <v>395</v>
      </c>
      <c r="D69" s="32" t="n">
        <f aca="false">-Inputs!$C$88</f>
        <v>-250000</v>
      </c>
      <c r="E69" s="32" t="n">
        <f aca="false">-Inputs!$C$88</f>
        <v>-250000</v>
      </c>
      <c r="F69" s="32" t="n">
        <f aca="false">-Inputs!$C$88</f>
        <v>-250000</v>
      </c>
      <c r="G69" s="32" t="n">
        <f aca="false">-Inputs!$C$88</f>
        <v>-250000</v>
      </c>
      <c r="H69" s="32" t="n">
        <f aca="false">-Inputs!$C$88</f>
        <v>-250000</v>
      </c>
      <c r="I69" s="32" t="n">
        <f aca="false">-Inputs!$C$88</f>
        <v>-250000</v>
      </c>
      <c r="J69" s="32" t="n">
        <f aca="false">-Inputs!$C$88</f>
        <v>-250000</v>
      </c>
    </row>
    <row r="70" customFormat="false" ht="15" hidden="false" customHeight="false" outlineLevel="0" collapsed="false">
      <c r="A70" s="0" t="s">
        <v>396</v>
      </c>
      <c r="D70" s="32" t="n">
        <f aca="false">-D13*Inputs!$C$89</f>
        <v>-93521.2249080048</v>
      </c>
      <c r="E70" s="32" t="n">
        <f aca="false">-E13*Inputs!$C$89</f>
        <v>-130778.399913428</v>
      </c>
      <c r="F70" s="32" t="n">
        <f aca="false">-F13*Inputs!$C$89</f>
        <v>-164466.275406777</v>
      </c>
      <c r="G70" s="32" t="n">
        <f aca="false">-G13*Inputs!$C$89</f>
        <v>-192466.511175264</v>
      </c>
      <c r="H70" s="32" t="n">
        <f aca="false">-H13*Inputs!$C$89</f>
        <v>-212638.958167185</v>
      </c>
      <c r="I70" s="32" t="n">
        <f aca="false">-I13*Inputs!$C$89</f>
        <v>-220805.495562122</v>
      </c>
      <c r="J70" s="32" t="n">
        <f aca="false">-J13*Inputs!$C$89</f>
        <v>-226865.521124233</v>
      </c>
    </row>
    <row r="71" customFormat="false" ht="15" hidden="false" customHeight="false" outlineLevel="0" collapsed="false">
      <c r="A71" s="0" t="s">
        <v>397</v>
      </c>
      <c r="D71" s="32" t="n">
        <f aca="false">-(D48*Inputs!$C$90+D49*Inputs!$C$91+D58*Inputs!$C$92+D47*Inputs!$C$93)</f>
        <v>-172657.328378633</v>
      </c>
      <c r="E71" s="32" t="n">
        <f aca="false">-(E48*Inputs!$C$90+E49*Inputs!$C$91+E58*Inputs!$C$92+E47*Inputs!$C$93)</f>
        <v>-280952.216704313</v>
      </c>
      <c r="F71" s="32" t="n">
        <f aca="false">-(F48*Inputs!$C$90+F49*Inputs!$C$91+F58*Inputs!$C$92+F47*Inputs!$C$93)</f>
        <v>-343903.413551092</v>
      </c>
      <c r="G71" s="32" t="n">
        <f aca="false">-(G48*Inputs!$C$90+G49*Inputs!$C$91+G58*Inputs!$C$92+G47*Inputs!$C$93)</f>
        <v>-393761.88565372</v>
      </c>
      <c r="H71" s="32" t="n">
        <f aca="false">-(H48*Inputs!$C$90+H49*Inputs!$C$91+H58*Inputs!$C$92+H47*Inputs!$C$93)</f>
        <v>-429301.194445509</v>
      </c>
      <c r="I71" s="32" t="n">
        <f aca="false">-(I48*Inputs!$C$90+I49*Inputs!$C$91+I58*Inputs!$C$92+I47*Inputs!$C$93)</f>
        <v>-444075.525701182</v>
      </c>
      <c r="J71" s="32" t="n">
        <f aca="false">-(J48*Inputs!$C$90+J49*Inputs!$C$91+J58*Inputs!$C$92+J47*Inputs!$C$93)</f>
        <v>-455381.072658977</v>
      </c>
    </row>
    <row r="72" customFormat="false" ht="15" hidden="false" customHeight="false" outlineLevel="0" collapsed="false">
      <c r="A72" s="0" t="s">
        <v>398</v>
      </c>
      <c r="D72" s="32" t="n">
        <f aca="false">-MAX(0,D62*Inputs!$C$94-Inputs!$C$95)</f>
        <v>-193681.899673222</v>
      </c>
      <c r="E72" s="32" t="n">
        <f aca="false">-MAX(0,E62*Inputs!$C$94-Inputs!$C$95)</f>
        <v>-259781.912917958</v>
      </c>
      <c r="F72" s="32" t="n">
        <f aca="false">-MAX(0,F62*Inputs!$C$94-Inputs!$C$95)</f>
        <v>-293575.774831805</v>
      </c>
      <c r="G72" s="32" t="n">
        <f aca="false">-MAX(0,G62*Inputs!$C$94-Inputs!$C$95)</f>
        <v>-312198.35391126</v>
      </c>
      <c r="H72" s="32" t="n">
        <f aca="false">-MAX(0,H62*Inputs!$C$94-Inputs!$C$95)</f>
        <v>-325163.741263574</v>
      </c>
      <c r="I72" s="32" t="n">
        <f aca="false">-MAX(0,I62*Inputs!$C$94-Inputs!$C$95)</f>
        <v>-331258.577826855</v>
      </c>
      <c r="J72" s="32" t="n">
        <f aca="false">-MAX(0,J62*Inputs!$C$94-Inputs!$C$95)</f>
        <v>-336501.628066402</v>
      </c>
    </row>
    <row r="73" customFormat="false" ht="15" hidden="false" customHeight="false" outlineLevel="0" collapsed="false">
      <c r="A73" s="0" t="s">
        <v>286</v>
      </c>
      <c r="D73" s="32" t="n">
        <f aca="false">-D62*Inputs!$C$96</f>
        <v>-64560.6332244072</v>
      </c>
      <c r="E73" s="32" t="n">
        <f aca="false">-E62*Inputs!$C$96</f>
        <v>-86593.9709726528</v>
      </c>
      <c r="F73" s="32" t="n">
        <f aca="false">-F62*Inputs!$C$96</f>
        <v>-97858.5916106017</v>
      </c>
      <c r="G73" s="32" t="n">
        <f aca="false">-G62*Inputs!$C$96</f>
        <v>-104066.11797042</v>
      </c>
      <c r="H73" s="32" t="n">
        <f aca="false">-H62*Inputs!$C$96</f>
        <v>-108387.913754525</v>
      </c>
      <c r="I73" s="32" t="n">
        <f aca="false">-I62*Inputs!$C$96</f>
        <v>-110419.525942285</v>
      </c>
      <c r="J73" s="32" t="n">
        <f aca="false">-J62*Inputs!$C$96</f>
        <v>-112167.209355467</v>
      </c>
    </row>
    <row r="74" customFormat="false" ht="15" hidden="false" customHeight="false" outlineLevel="0" collapsed="false">
      <c r="A74" s="0" t="s">
        <v>399</v>
      </c>
      <c r="D74" s="40" t="n">
        <f aca="false">-Inputs!$C$57*Inputs!$C$65*MAX(0,MIN(1,(1*12-Inputs!$C$80)/12))</f>
        <v>-67500</v>
      </c>
      <c r="E74" s="40" t="n">
        <f aca="false">-Inputs!$C$57*Inputs!$C$65*MAX(0,MIN(1,(2*12-Inputs!$C$80)/12))</f>
        <v>-90000</v>
      </c>
      <c r="F74" s="40" t="n">
        <f aca="false">-Inputs!$C$57*Inputs!$C$65*MAX(0,MIN(1,(3*12-Inputs!$C$80)/12))</f>
        <v>-90000</v>
      </c>
      <c r="G74" s="40" t="n">
        <f aca="false">-Inputs!$C$57*Inputs!$C$65*MAX(0,MIN(1,(4*12-Inputs!$C$80)/12))</f>
        <v>-90000</v>
      </c>
      <c r="H74" s="40" t="n">
        <f aca="false">-Inputs!$C$57*Inputs!$C$65*MAX(0,MIN(1,(5*12-Inputs!$C$80)/12))</f>
        <v>-90000</v>
      </c>
      <c r="I74" s="40" t="n">
        <f aca="false">-Inputs!$C$57*Inputs!$C$65*MAX(0,MIN(1,(6*12-Inputs!$C$80)/12))</f>
        <v>-90000</v>
      </c>
      <c r="J74" s="40" t="n">
        <f aca="false">-Inputs!$C$57*Inputs!$C$65*MAX(0,MIN(1,(7*12-Inputs!$C$80)/12))</f>
        <v>-90000</v>
      </c>
    </row>
    <row r="75" customFormat="false" ht="15" hidden="false" customHeight="false" outlineLevel="0" collapsed="false">
      <c r="A75" s="9" t="s">
        <v>400</v>
      </c>
      <c r="D75" s="34" t="n">
        <f aca="false">SUM(D64:D74)</f>
        <v>-4841921.08618427</v>
      </c>
      <c r="E75" s="34" t="n">
        <f aca="false">SUM(E64:E74)</f>
        <v>-5098106.50050835</v>
      </c>
      <c r="F75" s="34" t="n">
        <f aca="false">SUM(F64:F74)</f>
        <v>-5239804.05540028</v>
      </c>
      <c r="G75" s="34" t="n">
        <f aca="false">SUM(G64:G74)</f>
        <v>-5342492.86871066</v>
      </c>
      <c r="H75" s="34" t="n">
        <f aca="false">SUM(H64:H74)</f>
        <v>-5415491.80763079</v>
      </c>
      <c r="I75" s="34" t="n">
        <f aca="false">SUM(I64:I74)</f>
        <v>-5446559.12503244</v>
      </c>
      <c r="J75" s="34" t="n">
        <f aca="false">SUM(J64:J74)</f>
        <v>-5470915.43120508</v>
      </c>
    </row>
    <row r="76" customFormat="false" ht="15" hidden="false" customHeight="false" outlineLevel="0" collapsed="false">
      <c r="A76" s="9" t="s">
        <v>87</v>
      </c>
      <c r="D76" s="34" t="n">
        <f aca="false">D62+D75</f>
        <v>-1613889.42496391</v>
      </c>
      <c r="E76" s="34" t="n">
        <f aca="false">E62+E75</f>
        <v>-768407.951875714</v>
      </c>
      <c r="F76" s="34" t="n">
        <f aca="false">F62+F75</f>
        <v>-346874.474870189</v>
      </c>
      <c r="G76" s="34" t="n">
        <f aca="false">G62+G75</f>
        <v>-139186.970189665</v>
      </c>
      <c r="H76" s="34" t="n">
        <f aca="false">H62+H75</f>
        <v>3903.88009543903</v>
      </c>
      <c r="I76" s="34" t="n">
        <f aca="false">I62+I75</f>
        <v>74417.1720817983</v>
      </c>
      <c r="J76" s="34" t="n">
        <f aca="false">J62+J75</f>
        <v>137445.036568281</v>
      </c>
    </row>
    <row r="77" customFormat="false" ht="15" hidden="false" customHeight="false" outlineLevel="0" collapsed="false">
      <c r="A77" s="0" t="s">
        <v>257</v>
      </c>
      <c r="D77" s="32" t="n">
        <f aca="false">-MAX(0,D76)*Inputs!$C$73</f>
        <v>-0</v>
      </c>
      <c r="E77" s="32" t="n">
        <f aca="false">-MAX(0,E76)*Inputs!$C$73</f>
        <v>-0</v>
      </c>
      <c r="F77" s="32" t="n">
        <f aca="false">-MAX(0,F76)*Inputs!$C$73</f>
        <v>-0</v>
      </c>
      <c r="G77" s="32" t="n">
        <f aca="false">-MAX(0,G76)*Inputs!$C$73</f>
        <v>-0</v>
      </c>
      <c r="H77" s="32" t="n">
        <f aca="false">-MAX(0,H76)*Inputs!$C$73</f>
        <v>-1171.16402863171</v>
      </c>
      <c r="I77" s="32" t="n">
        <f aca="false">-MAX(0,I76)*Inputs!$C$73</f>
        <v>-22325.1516245395</v>
      </c>
      <c r="J77" s="32" t="n">
        <f aca="false">-MAX(0,J76)*Inputs!$C$73</f>
        <v>-41233.5109704844</v>
      </c>
    </row>
    <row r="78" customFormat="false" ht="15" hidden="false" customHeight="false" outlineLevel="0" collapsed="false">
      <c r="A78" s="9" t="s">
        <v>89</v>
      </c>
      <c r="D78" s="39" t="n">
        <f aca="false">D76+D77</f>
        <v>-1613889.42496391</v>
      </c>
      <c r="E78" s="39" t="n">
        <f aca="false">E76+E77</f>
        <v>-768407.951875714</v>
      </c>
      <c r="F78" s="39" t="n">
        <f aca="false">F76+F77</f>
        <v>-346874.474870189</v>
      </c>
      <c r="G78" s="39" t="n">
        <f aca="false">G76+G77</f>
        <v>-139186.970189665</v>
      </c>
      <c r="H78" s="39" t="n">
        <f aca="false">H76+H77</f>
        <v>2732.71606680732</v>
      </c>
      <c r="I78" s="39" t="n">
        <f aca="false">I76+I77</f>
        <v>52092.0204572588</v>
      </c>
      <c r="J78" s="39" t="n">
        <f aca="false">J76+J77</f>
        <v>96211.5255977969</v>
      </c>
    </row>
    <row r="79" customFormat="false" ht="15" hidden="false" customHeight="false" outlineLevel="0" collapsed="false">
      <c r="A79" s="6" t="s">
        <v>401</v>
      </c>
      <c r="B79" s="7"/>
      <c r="C79" s="7"/>
      <c r="D79" s="7"/>
      <c r="E79" s="7"/>
      <c r="F79" s="7"/>
      <c r="G79" s="7"/>
      <c r="H79" s="7"/>
      <c r="I79" s="7"/>
      <c r="J79" s="7"/>
    </row>
    <row r="80" customFormat="false" ht="15" hidden="false" customHeight="false" outlineLevel="0" collapsed="false">
      <c r="A80" s="0" t="s">
        <v>67</v>
      </c>
      <c r="B80" s="0" t="s">
        <v>390</v>
      </c>
      <c r="D80" s="32" t="n">
        <f aca="false">D15*Inputs!$C$46</f>
        <v>197624.58670923</v>
      </c>
      <c r="E80" s="32" t="n">
        <f aca="false">E15*Inputs!$C$46</f>
        <v>246481.554472883</v>
      </c>
      <c r="F80" s="32" t="n">
        <f aca="false">F15*Inputs!$C$46</f>
        <v>308128.85373153</v>
      </c>
      <c r="G80" s="32" t="n">
        <f aca="false">G15*Inputs!$C$46</f>
        <v>378303.146772038</v>
      </c>
      <c r="H80" s="32" t="n">
        <f aca="false">H15*Inputs!$C$46</f>
        <v>452044.493445156</v>
      </c>
      <c r="I80" s="32" t="n">
        <f aca="false">I15*Inputs!$C$46</f>
        <v>522696.687622086</v>
      </c>
      <c r="J80" s="32" t="n">
        <f aca="false">J15*Inputs!$C$46</f>
        <v>589463.357793763</v>
      </c>
    </row>
    <row r="81" customFormat="false" ht="15" hidden="false" customHeight="false" outlineLevel="0" collapsed="false">
      <c r="A81" s="0" t="s">
        <v>68</v>
      </c>
      <c r="B81" s="0" t="s">
        <v>390</v>
      </c>
      <c r="D81" s="32" t="n">
        <f aca="false">D16*Inputs!$C$46*0.5</f>
        <v>2173.87045380153</v>
      </c>
      <c r="E81" s="32" t="n">
        <f aca="false">E16*Inputs!$C$46*0.5</f>
        <v>2711.29709920171</v>
      </c>
      <c r="F81" s="32" t="n">
        <f aca="false">F16*Inputs!$C$46*0.5</f>
        <v>3389.41739104683</v>
      </c>
      <c r="G81" s="32" t="n">
        <f aca="false">G16*Inputs!$C$46*0.5</f>
        <v>4161.33461449242</v>
      </c>
      <c r="H81" s="32" t="n">
        <f aca="false">H16*Inputs!$C$46*0.5</f>
        <v>4972.48942789672</v>
      </c>
      <c r="I81" s="32" t="n">
        <f aca="false">I16*Inputs!$C$46*0.5</f>
        <v>5749.66356384295</v>
      </c>
      <c r="J81" s="32" t="n">
        <f aca="false">J16*Inputs!$C$46*0.5</f>
        <v>6484.09693573139</v>
      </c>
    </row>
    <row r="82" customFormat="false" ht="15" hidden="false" customHeight="false" outlineLevel="0" collapsed="false">
      <c r="A82" s="0" t="s">
        <v>69</v>
      </c>
      <c r="B82" s="0" t="s">
        <v>390</v>
      </c>
      <c r="D82" s="32" t="n">
        <f aca="false">Inputs!$C$48*Inputs!$C$49*MAX(0,MIN(1,(1*12-Inputs!$C$77)/12))</f>
        <v>4500</v>
      </c>
      <c r="E82" s="32" t="n">
        <f aca="false">Inputs!$C$48*Inputs!$C$49*MAX(0,MIN(1,(2*12-Inputs!$C$77)/12))</f>
        <v>9000</v>
      </c>
      <c r="F82" s="32" t="n">
        <f aca="false">Inputs!$C$48*Inputs!$C$49*MAX(0,MIN(1,(3*12-Inputs!$C$77)/12))</f>
        <v>9000</v>
      </c>
      <c r="G82" s="32" t="n">
        <f aca="false">Inputs!$C$48*Inputs!$C$49*MAX(0,MIN(1,(4*12-Inputs!$C$77)/12))</f>
        <v>9000</v>
      </c>
      <c r="H82" s="32" t="n">
        <f aca="false">Inputs!$C$48*Inputs!$C$49*MAX(0,MIN(1,(5*12-Inputs!$C$77)/12))</f>
        <v>9000</v>
      </c>
      <c r="I82" s="32" t="n">
        <f aca="false">Inputs!$C$48*Inputs!$C$49*MAX(0,MIN(1,(6*12-Inputs!$C$77)/12))</f>
        <v>9000</v>
      </c>
      <c r="J82" s="32" t="n">
        <f aca="false">Inputs!$C$48*Inputs!$C$49*MAX(0,MIN(1,(7*12-Inputs!$C$77)/12))</f>
        <v>9000</v>
      </c>
    </row>
    <row r="83" customFormat="false" ht="15" hidden="false" customHeight="false" outlineLevel="0" collapsed="false">
      <c r="A83" s="0" t="s">
        <v>70</v>
      </c>
      <c r="B83" s="0" t="s">
        <v>390</v>
      </c>
      <c r="D83" s="32" t="n">
        <f aca="false">Inputs!$C$50*Inputs!$C$51</f>
        <v>60000</v>
      </c>
      <c r="E83" s="32" t="n">
        <f aca="false">Inputs!$C$50*Inputs!$C$51</f>
        <v>60000</v>
      </c>
      <c r="F83" s="32" t="n">
        <f aca="false">Inputs!$C$50*Inputs!$C$51</f>
        <v>60000</v>
      </c>
      <c r="G83" s="32" t="n">
        <f aca="false">Inputs!$C$50*Inputs!$C$51</f>
        <v>60000</v>
      </c>
      <c r="H83" s="32" t="n">
        <f aca="false">Inputs!$C$50*Inputs!$C$51</f>
        <v>60000</v>
      </c>
      <c r="I83" s="32" t="n">
        <f aca="false">Inputs!$C$50*Inputs!$C$51</f>
        <v>60000</v>
      </c>
      <c r="J83" s="32" t="n">
        <f aca="false">Inputs!$C$50*Inputs!$C$51</f>
        <v>60000</v>
      </c>
    </row>
    <row r="84" customFormat="false" ht="15" hidden="false" customHeight="false" outlineLevel="0" collapsed="false">
      <c r="A84" s="0" t="s">
        <v>71</v>
      </c>
      <c r="B84" s="0" t="s">
        <v>390</v>
      </c>
      <c r="D84" s="32" t="n">
        <f aca="false">D15*Inputs!$C$52*MAX(0,MIN(1,(1*12-Inputs!$C$79)/12))</f>
        <v>0</v>
      </c>
      <c r="E84" s="32" t="n">
        <f aca="false">E15*Inputs!$C$52*MAX(0,MIN(1,(2*12-Inputs!$C$79)/12))</f>
        <v>0</v>
      </c>
      <c r="F84" s="32" t="n">
        <f aca="false">F15*Inputs!$C$52*MAX(0,MIN(1,(3*12-Inputs!$C$79)/12))</f>
        <v>0</v>
      </c>
      <c r="G84" s="32" t="n">
        <f aca="false">G15*Inputs!$C$52*MAX(0,MIN(1,(4*12-Inputs!$C$79)/12))</f>
        <v>0</v>
      </c>
      <c r="H84" s="32" t="n">
        <f aca="false">H15*Inputs!$C$52*MAX(0,MIN(1,(5*12-Inputs!$C$79)/12))</f>
        <v>0</v>
      </c>
      <c r="I84" s="32" t="n">
        <f aca="false">I15*Inputs!$C$52*MAX(0,MIN(1,(6*12-Inputs!$C$79)/12))</f>
        <v>0</v>
      </c>
      <c r="J84" s="32" t="n">
        <f aca="false">J15*Inputs!$C$52*MAX(0,MIN(1,(7*12-Inputs!$C$79)/12))</f>
        <v>0</v>
      </c>
    </row>
    <row r="85" customFormat="false" ht="15" hidden="false" customHeight="false" outlineLevel="0" collapsed="false">
      <c r="A85" s="0" t="s">
        <v>72</v>
      </c>
      <c r="B85" s="0" t="s">
        <v>390</v>
      </c>
      <c r="D85" s="40" t="n">
        <f aca="false">0</f>
        <v>0</v>
      </c>
      <c r="E85" s="40" t="n">
        <f aca="false">Inputs!$C$53</f>
        <v>0</v>
      </c>
      <c r="F85" s="40" t="n">
        <f aca="false">Inputs!$C$53</f>
        <v>0</v>
      </c>
      <c r="G85" s="40" t="n">
        <f aca="false">Inputs!$C$53</f>
        <v>0</v>
      </c>
      <c r="H85" s="40" t="n">
        <f aca="false">Inputs!$C$53</f>
        <v>0</v>
      </c>
      <c r="I85" s="40" t="n">
        <f aca="false">Inputs!$C$53</f>
        <v>0</v>
      </c>
      <c r="J85" s="40" t="n">
        <f aca="false">Inputs!$C$53</f>
        <v>0</v>
      </c>
    </row>
    <row r="86" customFormat="false" ht="15" hidden="false" customHeight="false" outlineLevel="0" collapsed="false">
      <c r="A86" s="0" t="s">
        <v>73</v>
      </c>
      <c r="B86" s="0" t="s">
        <v>390</v>
      </c>
      <c r="D86" s="40" t="n">
        <f aca="false">Inputs!$C$57*D15*Inputs!$C$58*Inputs!$C$59*MAX(0,MIN(1,(1*12-Inputs!$C$80)/12))</f>
        <v>9881.22933546151</v>
      </c>
      <c r="E86" s="40" t="n">
        <f aca="false">Inputs!$C$57*E15*Inputs!$C$58*Inputs!$C$59*MAX(0,MIN(1,(2*12-Inputs!$C$80)/12))</f>
        <v>16432.1036315255</v>
      </c>
      <c r="F86" s="40" t="n">
        <f aca="false">Inputs!$C$57*F15*Inputs!$C$58*Inputs!$C$59*MAX(0,MIN(1,(3*12-Inputs!$C$80)/12))</f>
        <v>20541.923582102</v>
      </c>
      <c r="G86" s="40" t="n">
        <f aca="false">Inputs!$C$57*G15*Inputs!$C$58*Inputs!$C$59*MAX(0,MIN(1,(4*12-Inputs!$C$80)/12))</f>
        <v>25220.2097848025</v>
      </c>
      <c r="H86" s="40" t="n">
        <f aca="false">Inputs!$C$57*H15*Inputs!$C$58*Inputs!$C$59*MAX(0,MIN(1,(5*12-Inputs!$C$80)/12))</f>
        <v>30136.2995630104</v>
      </c>
      <c r="I86" s="40" t="n">
        <f aca="false">Inputs!$C$57*I15*Inputs!$C$58*Inputs!$C$59*MAX(0,MIN(1,(6*12-Inputs!$C$80)/12))</f>
        <v>34846.4458414724</v>
      </c>
      <c r="J86" s="40" t="n">
        <f aca="false">Inputs!$C$57*J15*Inputs!$C$58*Inputs!$C$59*MAX(0,MIN(1,(7*12-Inputs!$C$80)/12))</f>
        <v>39297.5571862508</v>
      </c>
    </row>
    <row r="87" customFormat="false" ht="15" hidden="false" customHeight="false" outlineLevel="0" collapsed="false">
      <c r="A87" s="9" t="s">
        <v>74</v>
      </c>
      <c r="D87" s="34" t="n">
        <f aca="false">SUM(D80:D86)</f>
        <v>274179.686498493</v>
      </c>
      <c r="E87" s="34" t="n">
        <f aca="false">SUM(E80:E86)</f>
        <v>334624.95520361</v>
      </c>
      <c r="F87" s="34" t="n">
        <f aca="false">SUM(F80:F86)</f>
        <v>401060.194704679</v>
      </c>
      <c r="G87" s="34" t="n">
        <f aca="false">SUM(G80:G86)</f>
        <v>476684.691171333</v>
      </c>
      <c r="H87" s="34" t="n">
        <f aca="false">SUM(H80:H86)</f>
        <v>556153.282436064</v>
      </c>
      <c r="I87" s="34" t="n">
        <f aca="false">SUM(I80:I86)</f>
        <v>632292.797027402</v>
      </c>
      <c r="J87" s="34" t="n">
        <f aca="false">SUM(J80:J86)</f>
        <v>704245.011915745</v>
      </c>
    </row>
    <row r="88" customFormat="false" ht="15" hidden="false" customHeight="false" outlineLevel="0" collapsed="false">
      <c r="A88" s="0" t="s">
        <v>402</v>
      </c>
      <c r="D88" s="32" t="n">
        <f aca="false">-D15*Inputs!$C$97</f>
        <v>-65874.86223641</v>
      </c>
      <c r="E88" s="32" t="n">
        <f aca="false">-E15*Inputs!$C$97</f>
        <v>-82160.5181576276</v>
      </c>
      <c r="F88" s="32" t="n">
        <f aca="false">-F15*Inputs!$C$97</f>
        <v>-102709.61791051</v>
      </c>
      <c r="G88" s="32" t="n">
        <f aca="false">-G15*Inputs!$C$97</f>
        <v>-126101.048924013</v>
      </c>
      <c r="H88" s="32" t="n">
        <f aca="false">-H15*Inputs!$C$97</f>
        <v>-150681.497815052</v>
      </c>
      <c r="I88" s="32" t="n">
        <f aca="false">-I15*Inputs!$C$97</f>
        <v>-174232.229207362</v>
      </c>
      <c r="J88" s="32" t="n">
        <f aca="false">-J15*Inputs!$C$97</f>
        <v>-196487.785931254</v>
      </c>
    </row>
    <row r="89" customFormat="false" ht="15" hidden="false" customHeight="false" outlineLevel="0" collapsed="false">
      <c r="A89" s="0" t="s">
        <v>403</v>
      </c>
      <c r="D89" s="32" t="n">
        <f aca="false">-Inputs!$C$98</f>
        <v>-450000</v>
      </c>
      <c r="E89" s="32" t="n">
        <f aca="false">-Inputs!$C$98</f>
        <v>-450000</v>
      </c>
      <c r="F89" s="32" t="n">
        <f aca="false">-Inputs!$C$98</f>
        <v>-450000</v>
      </c>
      <c r="G89" s="32" t="n">
        <f aca="false">-Inputs!$C$98</f>
        <v>-450000</v>
      </c>
      <c r="H89" s="32" t="n">
        <f aca="false">-Inputs!$C$98</f>
        <v>-450000</v>
      </c>
      <c r="I89" s="32" t="n">
        <f aca="false">-Inputs!$C$98</f>
        <v>-450000</v>
      </c>
      <c r="J89" s="32" t="n">
        <f aca="false">-Inputs!$C$98</f>
        <v>-450000</v>
      </c>
    </row>
    <row r="90" customFormat="false" ht="15" hidden="false" customHeight="false" outlineLevel="0" collapsed="false">
      <c r="A90" s="0" t="s">
        <v>289</v>
      </c>
      <c r="D90" s="32" t="n">
        <f aca="false">-Inputs!$C$99</f>
        <v>-40000</v>
      </c>
      <c r="E90" s="32" t="n">
        <f aca="false">-Inputs!$C$99</f>
        <v>-40000</v>
      </c>
      <c r="F90" s="32" t="n">
        <f aca="false">-Inputs!$C$99</f>
        <v>-40000</v>
      </c>
      <c r="G90" s="32" t="n">
        <f aca="false">-Inputs!$C$99</f>
        <v>-40000</v>
      </c>
      <c r="H90" s="32" t="n">
        <f aca="false">-Inputs!$C$99</f>
        <v>-40000</v>
      </c>
      <c r="I90" s="32" t="n">
        <f aca="false">-Inputs!$C$99</f>
        <v>-40000</v>
      </c>
      <c r="J90" s="32" t="n">
        <f aca="false">-Inputs!$C$99</f>
        <v>-40000</v>
      </c>
    </row>
    <row r="91" customFormat="false" ht="15" hidden="false" customHeight="false" outlineLevel="0" collapsed="false">
      <c r="A91" s="0" t="s">
        <v>290</v>
      </c>
      <c r="D91" s="32" t="n">
        <f aca="false">-D87*Inputs!$C$100</f>
        <v>-6854.49216246233</v>
      </c>
      <c r="E91" s="32" t="n">
        <f aca="false">-E87*Inputs!$C$100</f>
        <v>-8365.62388009025</v>
      </c>
      <c r="F91" s="32" t="n">
        <f aca="false">-F87*Inputs!$C$100</f>
        <v>-10026.504867617</v>
      </c>
      <c r="G91" s="32" t="n">
        <f aca="false">-G87*Inputs!$C$100</f>
        <v>-11917.1172792833</v>
      </c>
      <c r="H91" s="32" t="n">
        <f aca="false">-H87*Inputs!$C$100</f>
        <v>-13903.8320609016</v>
      </c>
      <c r="I91" s="32" t="n">
        <f aca="false">-I87*Inputs!$C$100</f>
        <v>-15807.319925685</v>
      </c>
      <c r="J91" s="32" t="n">
        <f aca="false">-J87*Inputs!$C$100</f>
        <v>-17606.1252978936</v>
      </c>
    </row>
    <row r="92" customFormat="false" ht="15" hidden="false" customHeight="false" outlineLevel="0" collapsed="false">
      <c r="A92" s="9" t="s">
        <v>404</v>
      </c>
      <c r="D92" s="39" t="n">
        <f aca="false">D87+SUM(D88:D91)</f>
        <v>-288549.667900379</v>
      </c>
      <c r="E92" s="39" t="n">
        <f aca="false">E87+SUM(E88:E91)</f>
        <v>-245901.186834108</v>
      </c>
      <c r="F92" s="39" t="n">
        <f aca="false">F87+SUM(F88:F91)</f>
        <v>-201675.928073448</v>
      </c>
      <c r="G92" s="39" t="n">
        <f aca="false">G87+SUM(G88:G91)</f>
        <v>-151333.475031963</v>
      </c>
      <c r="H92" s="39" t="n">
        <f aca="false">H87+SUM(H88:H91)</f>
        <v>-98432.0474398901</v>
      </c>
      <c r="I92" s="39" t="n">
        <f aca="false">I87+SUM(I88:I91)</f>
        <v>-47746.7521056455</v>
      </c>
      <c r="J92" s="39" t="n">
        <f aca="false">J87+SUM(J88:J91)</f>
        <v>151.100686596939</v>
      </c>
    </row>
    <row r="93" customFormat="false" ht="15" hidden="false" customHeight="false" outlineLevel="0" collapsed="false">
      <c r="A93" s="6" t="s">
        <v>405</v>
      </c>
      <c r="B93" s="7"/>
      <c r="C93" s="7"/>
      <c r="D93" s="7"/>
      <c r="E93" s="7"/>
      <c r="F93" s="7"/>
      <c r="G93" s="7"/>
      <c r="H93" s="7"/>
      <c r="I93" s="7"/>
      <c r="J93" s="7"/>
    </row>
    <row r="94" customFormat="false" ht="15" hidden="false" customHeight="false" outlineLevel="0" collapsed="false">
      <c r="A94" s="0" t="s">
        <v>76</v>
      </c>
      <c r="B94" s="0" t="s">
        <v>388</v>
      </c>
      <c r="D94" s="32" t="n">
        <f aca="false">Inputs!$C$68*Inputs!$C$69</f>
        <v>108000</v>
      </c>
      <c r="E94" s="32" t="n">
        <f aca="false">Inputs!$C$68*Inputs!$C$69</f>
        <v>108000</v>
      </c>
      <c r="F94" s="32" t="n">
        <f aca="false">Inputs!$C$68*Inputs!$C$69</f>
        <v>108000</v>
      </c>
      <c r="G94" s="32" t="n">
        <f aca="false">Inputs!$C$68*Inputs!$C$69</f>
        <v>108000</v>
      </c>
      <c r="H94" s="32" t="n">
        <f aca="false">Inputs!$C$68*Inputs!$C$69</f>
        <v>108000</v>
      </c>
      <c r="I94" s="32" t="n">
        <f aca="false">Inputs!$C$68*Inputs!$C$69</f>
        <v>108000</v>
      </c>
      <c r="J94" s="32" t="n">
        <f aca="false">Inputs!$C$68*Inputs!$C$69</f>
        <v>108000</v>
      </c>
    </row>
    <row r="95" customFormat="false" ht="15" hidden="false" customHeight="false" outlineLevel="0" collapsed="false">
      <c r="A95" s="0" t="s">
        <v>77</v>
      </c>
      <c r="B95" s="0" t="s">
        <v>388</v>
      </c>
      <c r="D95" s="40" t="n">
        <f aca="false">Inputs!$C$70</f>
        <v>80000</v>
      </c>
      <c r="E95" s="40" t="n">
        <f aca="false">Inputs!$C$70</f>
        <v>80000</v>
      </c>
      <c r="F95" s="40" t="n">
        <f aca="false">Inputs!$C$70</f>
        <v>80000</v>
      </c>
      <c r="G95" s="40" t="n">
        <f aca="false">Inputs!$C$70</f>
        <v>80000</v>
      </c>
      <c r="H95" s="40" t="n">
        <f aca="false">Inputs!$C$70</f>
        <v>80000</v>
      </c>
      <c r="I95" s="40" t="n">
        <f aca="false">Inputs!$C$70</f>
        <v>80000</v>
      </c>
      <c r="J95" s="40" t="n">
        <f aca="false">Inputs!$C$70</f>
        <v>80000</v>
      </c>
    </row>
    <row r="96" customFormat="false" ht="15" hidden="false" customHeight="false" outlineLevel="0" collapsed="false">
      <c r="A96" s="0" t="s">
        <v>78</v>
      </c>
      <c r="B96" s="0" t="s">
        <v>388</v>
      </c>
      <c r="D96" s="32" t="n">
        <f aca="false">Inputs!$C$71</f>
        <v>72000</v>
      </c>
      <c r="E96" s="32" t="n">
        <f aca="false">Inputs!$C$71</f>
        <v>72000</v>
      </c>
      <c r="F96" s="32" t="n">
        <f aca="false">Inputs!$C$71</f>
        <v>72000</v>
      </c>
      <c r="G96" s="32" t="n">
        <f aca="false">Inputs!$C$71</f>
        <v>72000</v>
      </c>
      <c r="H96" s="32" t="n">
        <f aca="false">Inputs!$C$71</f>
        <v>72000</v>
      </c>
      <c r="I96" s="32" t="n">
        <f aca="false">Inputs!$C$71</f>
        <v>72000</v>
      </c>
      <c r="J96" s="32" t="n">
        <f aca="false">Inputs!$C$71</f>
        <v>72000</v>
      </c>
    </row>
    <row r="97" customFormat="false" ht="15" hidden="false" customHeight="false" outlineLevel="0" collapsed="false">
      <c r="A97" s="0" t="s">
        <v>79</v>
      </c>
      <c r="B97" s="0" t="s">
        <v>388</v>
      </c>
      <c r="D97" s="40" t="n">
        <f aca="false">Inputs!$C$72</f>
        <v>5000</v>
      </c>
      <c r="E97" s="40" t="n">
        <f aca="false">Inputs!$C$72</f>
        <v>5000</v>
      </c>
      <c r="F97" s="40" t="n">
        <f aca="false">Inputs!$C$72</f>
        <v>5000</v>
      </c>
      <c r="G97" s="40" t="n">
        <f aca="false">Inputs!$C$72</f>
        <v>5000</v>
      </c>
      <c r="H97" s="40" t="n">
        <f aca="false">Inputs!$C$72</f>
        <v>5000</v>
      </c>
      <c r="I97" s="40" t="n">
        <f aca="false">Inputs!$C$72</f>
        <v>5000</v>
      </c>
      <c r="J97" s="40" t="n">
        <f aca="false">Inputs!$C$72</f>
        <v>5000</v>
      </c>
    </row>
    <row r="98" customFormat="false" ht="15" hidden="false" customHeight="false" outlineLevel="0" collapsed="false">
      <c r="A98" s="0" t="s">
        <v>80</v>
      </c>
      <c r="B98" s="0" t="s">
        <v>388</v>
      </c>
      <c r="D98" s="40" t="n">
        <f aca="false">Inputs!$C$57*Inputs!$C$63*MAX(0,MIN(1,(1*12-Inputs!$C$80)/12))</f>
        <v>0</v>
      </c>
      <c r="E98" s="40" t="n">
        <f aca="false">Inputs!$C$57*Inputs!$C$63*MAX(0,MIN(1,(2*12-Inputs!$C$80)/12))</f>
        <v>0</v>
      </c>
      <c r="F98" s="40" t="n">
        <f aca="false">Inputs!$C$57*Inputs!$C$63*MAX(0,MIN(1,(3*12-Inputs!$C$80)/12))</f>
        <v>0</v>
      </c>
      <c r="G98" s="40" t="n">
        <f aca="false">Inputs!$C$57*Inputs!$C$63*MAX(0,MIN(1,(4*12-Inputs!$C$80)/12))</f>
        <v>0</v>
      </c>
      <c r="H98" s="40" t="n">
        <f aca="false">Inputs!$C$57*Inputs!$C$63*MAX(0,MIN(1,(5*12-Inputs!$C$80)/12))</f>
        <v>0</v>
      </c>
      <c r="I98" s="40" t="n">
        <f aca="false">Inputs!$C$57*Inputs!$C$63*MAX(0,MIN(1,(6*12-Inputs!$C$80)/12))</f>
        <v>0</v>
      </c>
      <c r="J98" s="40" t="n">
        <f aca="false">Inputs!$C$57*Inputs!$C$63*MAX(0,MIN(1,(7*12-Inputs!$C$80)/12))</f>
        <v>0</v>
      </c>
    </row>
    <row r="99" customFormat="false" ht="15" hidden="false" customHeight="false" outlineLevel="0" collapsed="false">
      <c r="A99" s="9" t="s">
        <v>81</v>
      </c>
      <c r="D99" s="34" t="n">
        <f aca="false">SUM(D94:D98)</f>
        <v>265000</v>
      </c>
      <c r="E99" s="34" t="n">
        <f aca="false">SUM(E94:E98)</f>
        <v>265000</v>
      </c>
      <c r="F99" s="34" t="n">
        <f aca="false">SUM(F94:F98)</f>
        <v>265000</v>
      </c>
      <c r="G99" s="34" t="n">
        <f aca="false">SUM(G94:G98)</f>
        <v>265000</v>
      </c>
      <c r="H99" s="34" t="n">
        <f aca="false">SUM(H94:H98)</f>
        <v>265000</v>
      </c>
      <c r="I99" s="34" t="n">
        <f aca="false">SUM(I94:I98)</f>
        <v>265000</v>
      </c>
      <c r="J99" s="34" t="n">
        <f aca="false">SUM(J94:J98)</f>
        <v>265000</v>
      </c>
    </row>
    <row r="100" customFormat="false" ht="15" hidden="false" customHeight="false" outlineLevel="0" collapsed="false">
      <c r="A100" s="0" t="s">
        <v>406</v>
      </c>
      <c r="D100" s="32" t="n">
        <f aca="false">-D77</f>
        <v>0</v>
      </c>
      <c r="E100" s="32" t="n">
        <f aca="false">-E77</f>
        <v>0</v>
      </c>
      <c r="F100" s="32" t="n">
        <f aca="false">-F77</f>
        <v>0</v>
      </c>
      <c r="G100" s="32" t="n">
        <f aca="false">-G77</f>
        <v>0</v>
      </c>
      <c r="H100" s="32" t="n">
        <f aca="false">-H77</f>
        <v>1171.16402863171</v>
      </c>
      <c r="I100" s="32" t="n">
        <f aca="false">-I77</f>
        <v>22325.1516245395</v>
      </c>
      <c r="J100" s="32" t="n">
        <f aca="false">-J77</f>
        <v>41233.5109704844</v>
      </c>
    </row>
    <row r="101" customFormat="false" ht="15" hidden="false" customHeight="false" outlineLevel="0" collapsed="false">
      <c r="A101" s="0" t="s">
        <v>407</v>
      </c>
      <c r="D101" s="32" t="n">
        <f aca="false">-Inputs!$C$108*Inputs!$C$101</f>
        <v>-48000</v>
      </c>
      <c r="E101" s="32" t="n">
        <f aca="false">-Inputs!$C$108*Inputs!$C$101</f>
        <v>-48000</v>
      </c>
      <c r="F101" s="32" t="n">
        <f aca="false">-Inputs!$C$108*Inputs!$C$101</f>
        <v>-48000</v>
      </c>
      <c r="G101" s="32" t="n">
        <f aca="false">-Inputs!$C$108*Inputs!$C$101</f>
        <v>-48000</v>
      </c>
      <c r="H101" s="32" t="n">
        <f aca="false">-Inputs!$C$108*Inputs!$C$101</f>
        <v>-48000</v>
      </c>
      <c r="I101" s="32" t="n">
        <f aca="false">-Inputs!$C$108*Inputs!$C$101</f>
        <v>-48000</v>
      </c>
      <c r="J101" s="32" t="n">
        <f aca="false">-Inputs!$C$108*Inputs!$C$101</f>
        <v>-48000</v>
      </c>
    </row>
    <row r="102" customFormat="false" ht="15" hidden="false" customHeight="false" outlineLevel="0" collapsed="false">
      <c r="A102" s="0" t="s">
        <v>408</v>
      </c>
      <c r="D102" s="32" t="n">
        <f aca="false">-Inputs!$C$102</f>
        <v>-160000</v>
      </c>
      <c r="E102" s="32" t="n">
        <f aca="false">-Inputs!$C$102</f>
        <v>-160000</v>
      </c>
      <c r="F102" s="32" t="n">
        <f aca="false">-Inputs!$C$102</f>
        <v>-160000</v>
      </c>
      <c r="G102" s="32" t="n">
        <f aca="false">-Inputs!$C$102</f>
        <v>-160000</v>
      </c>
      <c r="H102" s="32" t="n">
        <f aca="false">-Inputs!$C$102</f>
        <v>-160000</v>
      </c>
      <c r="I102" s="32" t="n">
        <f aca="false">-Inputs!$C$102</f>
        <v>-160000</v>
      </c>
      <c r="J102" s="32" t="n">
        <f aca="false">-Inputs!$C$102</f>
        <v>-160000</v>
      </c>
    </row>
    <row r="103" customFormat="false" ht="15" hidden="false" customHeight="false" outlineLevel="0" collapsed="false">
      <c r="A103" s="0" t="s">
        <v>295</v>
      </c>
      <c r="D103" s="32" t="n">
        <f aca="false">-D99*Inputs!$C$103</f>
        <v>-7950</v>
      </c>
      <c r="E103" s="32" t="n">
        <f aca="false">-E99*Inputs!$C$103</f>
        <v>-7950</v>
      </c>
      <c r="F103" s="32" t="n">
        <f aca="false">-F99*Inputs!$C$103</f>
        <v>-7950</v>
      </c>
      <c r="G103" s="32" t="n">
        <f aca="false">-G99*Inputs!$C$103</f>
        <v>-7950</v>
      </c>
      <c r="H103" s="32" t="n">
        <f aca="false">-H99*Inputs!$C$103</f>
        <v>-7950</v>
      </c>
      <c r="I103" s="32" t="n">
        <f aca="false">-I99*Inputs!$C$103</f>
        <v>-7950</v>
      </c>
      <c r="J103" s="32" t="n">
        <f aca="false">-J99*Inputs!$C$103</f>
        <v>-7950</v>
      </c>
    </row>
    <row r="104" customFormat="false" ht="15" hidden="false" customHeight="false" outlineLevel="0" collapsed="false">
      <c r="A104" s="9" t="s">
        <v>91</v>
      </c>
      <c r="D104" s="39" t="n">
        <f aca="false">D99+D100+D101+D102+D103</f>
        <v>49050</v>
      </c>
      <c r="E104" s="39" t="n">
        <f aca="false">E99+E100+E101+E102+E103</f>
        <v>49050</v>
      </c>
      <c r="F104" s="39" t="n">
        <f aca="false">F99+F100+F101+F102+F103</f>
        <v>49050</v>
      </c>
      <c r="G104" s="39" t="n">
        <f aca="false">G99+G100+G101+G102+G103</f>
        <v>49050</v>
      </c>
      <c r="H104" s="39" t="n">
        <f aca="false">H99+H100+H101+H102+H103</f>
        <v>50221.1640286317</v>
      </c>
      <c r="I104" s="39" t="n">
        <f aca="false">I99+I100+I101+I102+I103</f>
        <v>71375.1516245395</v>
      </c>
      <c r="J104" s="39" t="n">
        <f aca="false">J99+J100+J101+J102+J103</f>
        <v>90283.5109704844</v>
      </c>
    </row>
    <row r="105" customFormat="false" ht="15" hidden="false" customHeight="false" outlineLevel="0" collapsed="false">
      <c r="A105" s="6" t="s">
        <v>409</v>
      </c>
      <c r="B105" s="7"/>
      <c r="C105" s="7"/>
      <c r="D105" s="7"/>
      <c r="E105" s="7"/>
      <c r="F105" s="7"/>
      <c r="G105" s="7"/>
      <c r="H105" s="7"/>
      <c r="I105" s="7"/>
      <c r="J105" s="7"/>
    </row>
    <row r="106" customFormat="false" ht="15" hidden="false" customHeight="false" outlineLevel="0" collapsed="false">
      <c r="A106" s="9" t="s">
        <v>83</v>
      </c>
      <c r="D106" s="34" t="n">
        <f aca="false">D62+D87+D99</f>
        <v>3767211.34771885</v>
      </c>
      <c r="E106" s="34" t="n">
        <f aca="false">E62+E87+E99</f>
        <v>4929323.50383625</v>
      </c>
      <c r="F106" s="34" t="n">
        <f aca="false">F62+F87+F99</f>
        <v>5558989.77523476</v>
      </c>
      <c r="G106" s="34" t="n">
        <f aca="false">G62+G87+G99</f>
        <v>5944990.58969233</v>
      </c>
      <c r="H106" s="34" t="n">
        <f aca="false">H62+H87+H99</f>
        <v>6240548.9701623</v>
      </c>
      <c r="I106" s="34" t="n">
        <f aca="false">I62+I87+I99</f>
        <v>6418269.09414164</v>
      </c>
      <c r="J106" s="34" t="n">
        <f aca="false">J62+J87+J99</f>
        <v>6577605.4796891</v>
      </c>
    </row>
    <row r="107" customFormat="false" ht="15" hidden="false" customHeight="false" outlineLevel="0" collapsed="false">
      <c r="A107" s="0" t="s">
        <v>410</v>
      </c>
      <c r="B107" s="0" t="s">
        <v>388</v>
      </c>
      <c r="D107" s="32" t="n">
        <f aca="false">D51+D99</f>
        <v>3176704.13205792</v>
      </c>
      <c r="E107" s="32" t="n">
        <f aca="false">E51+E99</f>
        <v>4070154.53157905</v>
      </c>
      <c r="F107" s="32" t="n">
        <f aca="false">F51+F99</f>
        <v>4503450.20685731</v>
      </c>
      <c r="G107" s="32" t="n">
        <f aca="false">G51+G99</f>
        <v>4705424.34006405</v>
      </c>
      <c r="H107" s="32" t="n">
        <f aca="false">H51+H99</f>
        <v>4842916.97342845</v>
      </c>
      <c r="I107" s="32" t="n">
        <f aca="false">I51+I99</f>
        <v>4911798.20302172</v>
      </c>
      <c r="J107" s="32" t="n">
        <f aca="false">J51+J99</f>
        <v>4974607.95663483</v>
      </c>
    </row>
    <row r="108" customFormat="false" ht="15" hidden="false" customHeight="false" outlineLevel="0" collapsed="false">
      <c r="A108" s="0" t="s">
        <v>411</v>
      </c>
      <c r="B108" s="0" t="s">
        <v>390</v>
      </c>
      <c r="D108" s="32" t="n">
        <f aca="false">D61+D87</f>
        <v>590507.215660935</v>
      </c>
      <c r="E108" s="32" t="n">
        <f aca="false">E61+E87</f>
        <v>859168.972257203</v>
      </c>
      <c r="F108" s="32" t="n">
        <f aca="false">F61+F87</f>
        <v>1055539.56837746</v>
      </c>
      <c r="G108" s="32" t="n">
        <f aca="false">G61+G87</f>
        <v>1239566.24962828</v>
      </c>
      <c r="H108" s="32" t="n">
        <f aca="false">H61+H87</f>
        <v>1397631.99673385</v>
      </c>
      <c r="I108" s="32" t="n">
        <f aca="false">I61+I87</f>
        <v>1506470.89111992</v>
      </c>
      <c r="J108" s="32" t="n">
        <f aca="false">J61+J87</f>
        <v>1602997.52305428</v>
      </c>
    </row>
    <row r="109" customFormat="false" ht="15" hidden="false" customHeight="false" outlineLevel="0" collapsed="false">
      <c r="A109" s="0" t="s">
        <v>412</v>
      </c>
      <c r="D109" s="36" t="n">
        <f aca="false">IF(D106&gt;0,D108/D106,0)</f>
        <v>0.156749160361949</v>
      </c>
      <c r="E109" s="36" t="n">
        <f aca="false">IF(E106&gt;0,E108/E106,0)</f>
        <v>0.17429754236835</v>
      </c>
      <c r="F109" s="36" t="n">
        <f aca="false">IF(F106&gt;0,F108/F106,0)</f>
        <v>0.189879746330867</v>
      </c>
      <c r="G109" s="36" t="n">
        <f aca="false">IF(G106&gt;0,G108/G106,0)</f>
        <v>0.208506007020009</v>
      </c>
      <c r="H109" s="36" t="n">
        <f aca="false">IF(H106&gt;0,H108/H106,0)</f>
        <v>0.223959783572935</v>
      </c>
      <c r="I109" s="36" t="n">
        <f aca="false">IF(I106&gt;0,I108/I106,0)</f>
        <v>0.234716068931259</v>
      </c>
      <c r="J109" s="36" t="n">
        <f aca="false">IF(J106&gt;0,J108/J106,0)</f>
        <v>0.243705331370839</v>
      </c>
    </row>
    <row r="110" customFormat="false" ht="15" hidden="false" customHeight="false" outlineLevel="0" collapsed="false">
      <c r="A110" s="9" t="s">
        <v>92</v>
      </c>
      <c r="D110" s="39" t="n">
        <f aca="false">D78+D92+D104</f>
        <v>-1853389.09286429</v>
      </c>
      <c r="E110" s="39" t="n">
        <f aca="false">E78+E92+E104</f>
        <v>-965259.138709822</v>
      </c>
      <c r="F110" s="39" t="n">
        <f aca="false">F78+F92+F104</f>
        <v>-499500.402943637</v>
      </c>
      <c r="G110" s="39" t="n">
        <f aca="false">G78+G92+G104</f>
        <v>-241470.445221628</v>
      </c>
      <c r="H110" s="39" t="n">
        <f aca="false">H78+H92+H104</f>
        <v>-45478.1673444511</v>
      </c>
      <c r="I110" s="39" t="n">
        <f aca="false">I78+I92+I104</f>
        <v>75720.4199761529</v>
      </c>
      <c r="J110" s="39" t="n">
        <f aca="false">J78+J92+J104</f>
        <v>186646.137254878</v>
      </c>
    </row>
    <row r="111" customFormat="false" ht="15" hidden="false" customHeight="false" outlineLevel="0" collapsed="false">
      <c r="A111" s="0" t="s">
        <v>93</v>
      </c>
      <c r="D111" s="36" t="n">
        <f aca="false">IF(D106&gt;0,D110/D106,0)</f>
        <v>-0.491979058723786</v>
      </c>
      <c r="E111" s="36" t="n">
        <f aca="false">IF(E106&gt;0,E110/E106,0)</f>
        <v>-0.195819799199344</v>
      </c>
      <c r="F111" s="36" t="n">
        <f aca="false">IF(F106&gt;0,F110/F106,0)</f>
        <v>-0.0898545280958971</v>
      </c>
      <c r="G111" s="36" t="n">
        <f aca="false">IF(G106&gt;0,G110/G106,0)</f>
        <v>-0.0406174646668574</v>
      </c>
      <c r="H111" s="36" t="n">
        <f aca="false">IF(H106&gt;0,H110/H106,0)</f>
        <v>-0.00728752671630239</v>
      </c>
      <c r="I111" s="36" t="n">
        <f aca="false">IF(I106&gt;0,I110/I106,0)</f>
        <v>0.0117976387193344</v>
      </c>
      <c r="J111" s="36" t="n">
        <f aca="false">IF(J106&gt;0,J110/J106,0)</f>
        <v>0.0283760006329386</v>
      </c>
    </row>
    <row r="112" customFormat="false" ht="15" hidden="false" customHeight="false" outlineLevel="0" collapsed="false">
      <c r="A112" s="0" t="s">
        <v>413</v>
      </c>
      <c r="D112" s="32" t="n">
        <f aca="false">IF(D15&gt;0,D106/D15,0)</f>
        <v>3431.24331785243</v>
      </c>
      <c r="E112" s="32" t="n">
        <f aca="false">IF(E15&gt;0,E106/E15,0)</f>
        <v>3599.77537705825</v>
      </c>
      <c r="F112" s="32" t="n">
        <f aca="false">IF(F15&gt;0,F106/F15,0)</f>
        <v>3247.40168739305</v>
      </c>
      <c r="G112" s="32" t="n">
        <f aca="false">IF(G15&gt;0,G106/G15,0)</f>
        <v>2828.67936805572</v>
      </c>
      <c r="H112" s="32" t="n">
        <f aca="false">IF(H15&gt;0,H106/H15,0)</f>
        <v>2484.92976005136</v>
      </c>
      <c r="I112" s="32" t="n">
        <f aca="false">IF(I15&gt;0,I106/I15,0)</f>
        <v>2210.24633272744</v>
      </c>
      <c r="J112" s="32" t="n">
        <f aca="false">IF(J15&gt;0,J106/J15,0)</f>
        <v>2008.55400202548</v>
      </c>
    </row>
    <row r="113" customFormat="false" ht="15" hidden="false" customHeight="false" outlineLevel="0" collapsed="false">
      <c r="A113" s="0" t="s">
        <v>414</v>
      </c>
      <c r="D113" s="41" t="n">
        <f aca="false">D106/Inputs!$C$6</f>
        <v>37.6721134771885</v>
      </c>
      <c r="E113" s="41" t="n">
        <f aca="false">E106/Inputs!$C$6</f>
        <v>49.2932350383625</v>
      </c>
      <c r="F113" s="41" t="n">
        <f aca="false">F106/Inputs!$C$6</f>
        <v>55.5898977523476</v>
      </c>
      <c r="G113" s="41" t="n">
        <f aca="false">G106/Inputs!$C$6</f>
        <v>59.4499058969233</v>
      </c>
      <c r="H113" s="41" t="n">
        <f aca="false">H106/Inputs!$C$6</f>
        <v>62.405489701623</v>
      </c>
      <c r="I113" s="41" t="n">
        <f aca="false">I106/Inputs!$C$6</f>
        <v>64.1826909414164</v>
      </c>
      <c r="J113" s="41" t="n">
        <f aca="false">J106/Inputs!$C$6</f>
        <v>65.7760547968911</v>
      </c>
    </row>
    <row r="114" customFormat="false" ht="15" hidden="false" customHeight="false" outlineLevel="0" collapsed="false">
      <c r="A114" s="6" t="s">
        <v>415</v>
      </c>
      <c r="B114" s="7"/>
      <c r="C114" s="7"/>
      <c r="D114" s="7"/>
      <c r="E114" s="7"/>
      <c r="F114" s="7"/>
      <c r="G114" s="7"/>
      <c r="H114" s="7"/>
      <c r="I114" s="7"/>
      <c r="J114" s="7"/>
    </row>
    <row r="115" customFormat="false" ht="15" hidden="false" customHeight="false" outlineLevel="0" collapsed="false">
      <c r="A115" s="0" t="s">
        <v>96</v>
      </c>
      <c r="C115" s="32" t="n">
        <f aca="false">-Inputs!$C$106</f>
        <v>-8600000</v>
      </c>
      <c r="D115" s="32" t="n">
        <f aca="false">0</f>
        <v>0</v>
      </c>
      <c r="E115" s="32" t="n">
        <f aca="false">0</f>
        <v>0</v>
      </c>
      <c r="F115" s="32" t="n">
        <f aca="false">0</f>
        <v>0</v>
      </c>
      <c r="G115" s="32" t="n">
        <f aca="false">0</f>
        <v>0</v>
      </c>
      <c r="H115" s="32" t="n">
        <f aca="false">0</f>
        <v>0</v>
      </c>
      <c r="I115" s="32" t="n">
        <f aca="false">0</f>
        <v>0</v>
      </c>
      <c r="J115" s="32" t="n">
        <f aca="false">0</f>
        <v>0</v>
      </c>
    </row>
    <row r="116" customFormat="false" ht="15" hidden="false" customHeight="false" outlineLevel="0" collapsed="false">
      <c r="A116" s="0" t="s">
        <v>416</v>
      </c>
      <c r="C116" s="32" t="n">
        <f aca="false">Inputs!$C$107</f>
        <v>138000</v>
      </c>
      <c r="D116" s="32" t="n">
        <f aca="false">0</f>
        <v>0</v>
      </c>
      <c r="E116" s="32" t="n">
        <f aca="false">0</f>
        <v>0</v>
      </c>
      <c r="F116" s="32" t="n">
        <f aca="false">0</f>
        <v>0</v>
      </c>
      <c r="G116" s="32" t="n">
        <f aca="false">0</f>
        <v>0</v>
      </c>
      <c r="H116" s="32" t="n">
        <f aca="false">0</f>
        <v>0</v>
      </c>
      <c r="I116" s="32" t="n">
        <f aca="false">0</f>
        <v>0</v>
      </c>
      <c r="J116" s="32" t="n">
        <f aca="false">0</f>
        <v>0</v>
      </c>
    </row>
    <row r="117" customFormat="false" ht="15" hidden="false" customHeight="false" outlineLevel="0" collapsed="false">
      <c r="A117" s="0" t="s">
        <v>98</v>
      </c>
      <c r="C117" s="32" t="n">
        <f aca="false">-Inputs!$C$57*Inputs!$C$64</f>
        <v>-250000</v>
      </c>
      <c r="D117" s="40" t="n">
        <f aca="false">0</f>
        <v>0</v>
      </c>
      <c r="E117" s="40" t="n">
        <f aca="false">0</f>
        <v>0</v>
      </c>
      <c r="F117" s="40" t="n">
        <f aca="false">0</f>
        <v>0</v>
      </c>
      <c r="G117" s="40" t="n">
        <f aca="false">0</f>
        <v>0</v>
      </c>
      <c r="H117" s="40" t="n">
        <f aca="false">0</f>
        <v>0</v>
      </c>
      <c r="I117" s="40" t="n">
        <f aca="false">0</f>
        <v>0</v>
      </c>
      <c r="J117" s="40" t="n">
        <f aca="false">0</f>
        <v>0</v>
      </c>
    </row>
    <row r="118" customFormat="false" ht="15" hidden="false" customHeight="false" outlineLevel="0" collapsed="false">
      <c r="A118" s="0" t="s">
        <v>417</v>
      </c>
      <c r="C118" s="32" t="n">
        <f aca="false">-Inputs!$C$108</f>
        <v>-4000000</v>
      </c>
      <c r="D118" s="32" t="n">
        <f aca="false">0</f>
        <v>0</v>
      </c>
      <c r="E118" s="32" t="n">
        <f aca="false">0</f>
        <v>0</v>
      </c>
      <c r="F118" s="32" t="n">
        <f aca="false">0</f>
        <v>0</v>
      </c>
      <c r="G118" s="32" t="n">
        <f aca="false">0</f>
        <v>0</v>
      </c>
      <c r="H118" s="32" t="n">
        <f aca="false">0</f>
        <v>0</v>
      </c>
      <c r="I118" s="32" t="n">
        <f aca="false">0</f>
        <v>0</v>
      </c>
      <c r="J118" s="32" t="n">
        <f aca="false">0</f>
        <v>0</v>
      </c>
    </row>
    <row r="119" customFormat="false" ht="15" hidden="false" customHeight="false" outlineLevel="0" collapsed="false">
      <c r="A119" s="0" t="s">
        <v>418</v>
      </c>
      <c r="C119" s="32" t="n">
        <f aca="false">0</f>
        <v>0</v>
      </c>
      <c r="D119" s="32" t="n">
        <f aca="false">0</f>
        <v>0</v>
      </c>
      <c r="E119" s="32" t="n">
        <f aca="false">-E62*Inputs!$C$109</f>
        <v>-86593.9709726528</v>
      </c>
      <c r="F119" s="32" t="n">
        <f aca="false">-F62*Inputs!$C$109</f>
        <v>-97858.5916106017</v>
      </c>
      <c r="G119" s="32" t="n">
        <f aca="false">-G62*Inputs!$C$109</f>
        <v>-104066.11797042</v>
      </c>
      <c r="H119" s="32" t="n">
        <f aca="false">-H62*Inputs!$C$109</f>
        <v>-108387.913754525</v>
      </c>
      <c r="I119" s="32" t="n">
        <f aca="false">-I62*Inputs!$C$109</f>
        <v>-110419.525942285</v>
      </c>
      <c r="J119" s="32" t="n">
        <f aca="false">-J62*Inputs!$C$109</f>
        <v>-112167.209355467</v>
      </c>
    </row>
    <row r="120" customFormat="false" ht="15" hidden="false" customHeight="false" outlineLevel="0" collapsed="false">
      <c r="A120" s="9" t="s">
        <v>419</v>
      </c>
      <c r="C120" s="32" t="n">
        <f aca="false">SUM(C115:C119)</f>
        <v>-12712000</v>
      </c>
      <c r="D120" s="34" t="n">
        <f aca="false">SUM(D115:D119)</f>
        <v>0</v>
      </c>
      <c r="E120" s="34" t="n">
        <f aca="false">SUM(E115:E119)</f>
        <v>-86593.9709726528</v>
      </c>
      <c r="F120" s="34" t="n">
        <f aca="false">SUM(F115:F119)</f>
        <v>-97858.5916106017</v>
      </c>
      <c r="G120" s="34" t="n">
        <f aca="false">SUM(G115:G119)</f>
        <v>-104066.11797042</v>
      </c>
      <c r="H120" s="34" t="n">
        <f aca="false">SUM(H115:H119)</f>
        <v>-108387.913754525</v>
      </c>
      <c r="I120" s="34" t="n">
        <f aca="false">SUM(I115:I119)</f>
        <v>-110419.525942285</v>
      </c>
      <c r="J120" s="34" t="n">
        <f aca="false">SUM(J115:J119)</f>
        <v>-112167.209355467</v>
      </c>
    </row>
    <row r="121" customFormat="false" ht="15" hidden="false" customHeight="false" outlineLevel="0" collapsed="false">
      <c r="A121" s="9" t="s">
        <v>420</v>
      </c>
      <c r="C121" s="32" t="n">
        <f aca="false">C120</f>
        <v>-12712000</v>
      </c>
      <c r="D121" s="34" t="n">
        <f aca="false">D110+D120</f>
        <v>-1853389.09286429</v>
      </c>
      <c r="E121" s="34" t="n">
        <f aca="false">E110+E120</f>
        <v>-1051853.10968247</v>
      </c>
      <c r="F121" s="34" t="n">
        <f aca="false">F110+F120</f>
        <v>-597358.994554239</v>
      </c>
      <c r="G121" s="34" t="n">
        <f aca="false">G110+G120</f>
        <v>-345536.563192048</v>
      </c>
      <c r="H121" s="34" t="n">
        <f aca="false">H110+H120</f>
        <v>-153866.081098976</v>
      </c>
      <c r="I121" s="34" t="n">
        <f aca="false">I110+I120</f>
        <v>-34699.105966132</v>
      </c>
      <c r="J121" s="34" t="n">
        <f aca="false">J110+J120</f>
        <v>74478.927899411</v>
      </c>
    </row>
    <row r="122" customFormat="false" ht="15" hidden="false" customHeight="false" outlineLevel="0" collapsed="false">
      <c r="A122" s="0" t="s">
        <v>421</v>
      </c>
      <c r="C122" s="32" t="n">
        <f aca="false">C121</f>
        <v>-12712000</v>
      </c>
      <c r="D122" s="32" t="n">
        <f aca="false">C122+D121</f>
        <v>-14565389.0928643</v>
      </c>
      <c r="E122" s="32" t="n">
        <f aca="false">D122+E121</f>
        <v>-15617242.2025468</v>
      </c>
      <c r="F122" s="32" t="n">
        <f aca="false">E122+F121</f>
        <v>-16214601.197101</v>
      </c>
      <c r="G122" s="32" t="n">
        <f aca="false">F122+G121</f>
        <v>-16560137.760293</v>
      </c>
      <c r="H122" s="32" t="n">
        <f aca="false">G122+H121</f>
        <v>-16714003.841392</v>
      </c>
      <c r="I122" s="32" t="n">
        <f aca="false">H122+I121</f>
        <v>-16748702.9473582</v>
      </c>
      <c r="J122" s="32" t="n">
        <f aca="false">I122+J121</f>
        <v>-16674224.0194587</v>
      </c>
    </row>
    <row r="123" customFormat="false" ht="15" hidden="false" customHeight="false" outlineLevel="0" collapsed="false">
      <c r="A123" s="0" t="s">
        <v>422</v>
      </c>
      <c r="D123" s="33" t="n">
        <f aca="false">IF(D122&gt;=0,1,0)</f>
        <v>0</v>
      </c>
      <c r="E123" s="33" t="n">
        <f aca="false">IF(E122&gt;=0,1,0)</f>
        <v>0</v>
      </c>
      <c r="F123" s="33" t="n">
        <f aca="false">IF(F122&gt;=0,1,0)</f>
        <v>0</v>
      </c>
      <c r="G123" s="33" t="n">
        <f aca="false">IF(G122&gt;=0,1,0)</f>
        <v>0</v>
      </c>
      <c r="H123" s="33" t="n">
        <f aca="false">IF(H122&gt;=0,1,0)</f>
        <v>0</v>
      </c>
      <c r="I123" s="33" t="n">
        <f aca="false">IF(I122&gt;=0,1,0)</f>
        <v>0</v>
      </c>
      <c r="J123" s="33" t="n">
        <f aca="false">IF(J122&gt;=0,1,0)</f>
        <v>0</v>
      </c>
    </row>
    <row r="124" customFormat="false" ht="15" hidden="false" customHeight="false" outlineLevel="0" collapsed="false">
      <c r="A124" s="0" t="s">
        <v>423</v>
      </c>
      <c r="C124" s="32" t="n">
        <f aca="false">0</f>
        <v>0</v>
      </c>
      <c r="D124" s="32" t="n">
        <f aca="false">0</f>
        <v>0</v>
      </c>
      <c r="E124" s="32" t="n">
        <f aca="false">0</f>
        <v>0</v>
      </c>
      <c r="F124" s="32" t="n">
        <f aca="false">0</f>
        <v>0</v>
      </c>
      <c r="G124" s="32" t="n">
        <f aca="false">0</f>
        <v>0</v>
      </c>
      <c r="H124" s="32" t="n">
        <f aca="false">0</f>
        <v>0</v>
      </c>
      <c r="I124" s="32" t="n">
        <f aca="false">0</f>
        <v>0</v>
      </c>
      <c r="J124" s="32" t="n">
        <f aca="false">J110*Inputs!$C$9</f>
        <v>1306522.96078415</v>
      </c>
    </row>
    <row r="125" customFormat="false" ht="15" hidden="false" customHeight="false" outlineLevel="0" collapsed="false">
      <c r="A125" s="9" t="s">
        <v>424</v>
      </c>
      <c r="C125" s="32" t="n">
        <f aca="false">C121</f>
        <v>-12712000</v>
      </c>
      <c r="D125" s="34" t="n">
        <f aca="false">D121+D124</f>
        <v>-1853389.09286429</v>
      </c>
      <c r="E125" s="34" t="n">
        <f aca="false">E121+E124</f>
        <v>-1051853.10968247</v>
      </c>
      <c r="F125" s="34" t="n">
        <f aca="false">F121+F124</f>
        <v>-597358.994554239</v>
      </c>
      <c r="G125" s="34" t="n">
        <f aca="false">G121+G124</f>
        <v>-345536.563192048</v>
      </c>
      <c r="H125" s="34" t="n">
        <f aca="false">H121+H124</f>
        <v>-153866.081098976</v>
      </c>
      <c r="I125" s="34" t="n">
        <f aca="false">I121+I124</f>
        <v>-34699.105966132</v>
      </c>
      <c r="J125" s="34" t="n">
        <f aca="false">J121+J124</f>
        <v>1381001.88868356</v>
      </c>
    </row>
    <row r="126" customFormat="false" ht="15" hidden="false" customHeight="false" outlineLevel="0" collapsed="false">
      <c r="A126" s="6" t="s">
        <v>425</v>
      </c>
      <c r="B126" s="7"/>
      <c r="C126" s="7"/>
      <c r="D126" s="7"/>
      <c r="E126" s="7"/>
      <c r="F126" s="7"/>
      <c r="G126" s="7"/>
      <c r="H126" s="7"/>
      <c r="I126" s="7"/>
      <c r="J126" s="7"/>
    </row>
    <row r="127" customFormat="false" ht="15" hidden="false" customHeight="false" outlineLevel="0" collapsed="false">
      <c r="A127" s="0" t="s">
        <v>101</v>
      </c>
      <c r="C127" s="42" t="str">
        <f aca="false">IFERROR(IRR(C121:J121),"n/a")</f>
        <v>n/a</v>
      </c>
    </row>
    <row r="128" customFormat="false" ht="15" hidden="false" customHeight="false" outlineLevel="0" collapsed="false">
      <c r="A128" s="0" t="s">
        <v>426</v>
      </c>
      <c r="C128" s="42" t="str">
        <f aca="false">IFERROR(IRR(C125:J125),"n/a")</f>
        <v>n/a</v>
      </c>
    </row>
    <row r="129" customFormat="false" ht="15" hidden="false" customHeight="false" outlineLevel="0" collapsed="false">
      <c r="A129" s="0" t="s">
        <v>427</v>
      </c>
      <c r="C129" s="34" t="n">
        <f aca="false">NPV(Inputs!$C$8,D121:J121)+C121</f>
        <v>-15772830.2734902</v>
      </c>
    </row>
    <row r="130" customFormat="false" ht="15" hidden="false" customHeight="false" outlineLevel="0" collapsed="false">
      <c r="A130" s="0" t="s">
        <v>428</v>
      </c>
      <c r="C130" s="34" t="n">
        <f aca="false">NPV(Inputs!$C$8,D125:J125)+C125</f>
        <v>-15281659.8990215</v>
      </c>
    </row>
    <row r="131" customFormat="false" ht="15" hidden="false" customHeight="false" outlineLevel="0" collapsed="false">
      <c r="A131" s="0" t="s">
        <v>429</v>
      </c>
      <c r="C131" s="42" t="n">
        <f aca="false">-SUM(D121:J121)/C121-1</f>
        <v>-1.31169163148669</v>
      </c>
    </row>
    <row r="132" customFormat="false" ht="15" hidden="false" customHeight="false" outlineLevel="0" collapsed="false">
      <c r="A132" s="0" t="s">
        <v>106</v>
      </c>
      <c r="C132" s="42" t="n">
        <f aca="false">-SUM(D125:J125)/C125-1</f>
        <v>-1.20891292154457</v>
      </c>
    </row>
    <row r="133" customFormat="false" ht="15" hidden="false" customHeight="false" outlineLevel="0" collapsed="false">
      <c r="A133" s="0" t="s">
        <v>107</v>
      </c>
      <c r="C133" s="37" t="str">
        <f aca="false">IFERROR(MATCH(1,D123:J123,0),"beyond Y7")</f>
        <v>beyond Y7</v>
      </c>
    </row>
    <row r="134" customFormat="false" ht="15" hidden="false" customHeight="false" outlineLevel="0" collapsed="false">
      <c r="A134" s="0" t="s">
        <v>430</v>
      </c>
      <c r="C134" s="34" t="n">
        <f aca="false">-C120</f>
        <v>12712000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0"/>
    <col collapsed="false" customWidth="true" hidden="false" outlineLevel="0" max="10" min="3" style="0" width="14"/>
  </cols>
  <sheetData>
    <row r="1" customFormat="false" ht="17.35" hidden="false" customHeight="false" outlineLevel="0" collapsed="false">
      <c r="A1" s="4" t="s">
        <v>431</v>
      </c>
    </row>
    <row r="3" customFormat="false" ht="15" hidden="false" customHeight="false" outlineLevel="0" collapsed="false">
      <c r="A3" s="5" t="s">
        <v>109</v>
      </c>
      <c r="B3" s="5" t="s">
        <v>356</v>
      </c>
      <c r="C3" s="5" t="s">
        <v>357</v>
      </c>
      <c r="D3" s="5" t="s">
        <v>110</v>
      </c>
      <c r="E3" s="5" t="s">
        <v>111</v>
      </c>
      <c r="F3" s="5" t="s">
        <v>112</v>
      </c>
      <c r="G3" s="5" t="s">
        <v>113</v>
      </c>
      <c r="H3" s="5" t="s">
        <v>114</v>
      </c>
      <c r="I3" s="5" t="s">
        <v>115</v>
      </c>
      <c r="J3" s="5" t="s">
        <v>116</v>
      </c>
    </row>
    <row r="4" customFormat="false" ht="15" hidden="false" customHeight="false" outlineLevel="0" collapsed="false">
      <c r="A4" s="6" t="s">
        <v>358</v>
      </c>
      <c r="B4" s="7"/>
      <c r="C4" s="7"/>
      <c r="D4" s="7"/>
      <c r="E4" s="7"/>
      <c r="F4" s="7"/>
      <c r="G4" s="7"/>
      <c r="H4" s="7"/>
      <c r="I4" s="7"/>
      <c r="J4" s="7"/>
    </row>
    <row r="5" customFormat="false" ht="15" hidden="false" customHeight="false" outlineLevel="0" collapsed="false">
      <c r="A5" s="0" t="s">
        <v>359</v>
      </c>
      <c r="D5" s="33" t="n">
        <f aca="false">1</f>
        <v>1</v>
      </c>
      <c r="E5" s="33" t="n">
        <f aca="false">2</f>
        <v>2</v>
      </c>
      <c r="F5" s="33" t="n">
        <f aca="false">3</f>
        <v>3</v>
      </c>
      <c r="G5" s="33" t="n">
        <f aca="false">4</f>
        <v>4</v>
      </c>
      <c r="H5" s="33" t="n">
        <f aca="false">5</f>
        <v>5</v>
      </c>
      <c r="I5" s="33" t="n">
        <f aca="false">6</f>
        <v>6</v>
      </c>
      <c r="J5" s="33" t="n">
        <f aca="false">7</f>
        <v>7</v>
      </c>
    </row>
    <row r="6" customFormat="false" ht="15" hidden="false" customHeight="false" outlineLevel="0" collapsed="false">
      <c r="A6" s="0" t="s">
        <v>360</v>
      </c>
      <c r="D6" s="36" t="n">
        <f aca="false">Curves!C6</f>
        <v>0.49</v>
      </c>
      <c r="E6" s="36" t="n">
        <f aca="false">Curves!D6</f>
        <v>0.66</v>
      </c>
      <c r="F6" s="36" t="n">
        <f aca="false">Curves!E6</f>
        <v>0.8</v>
      </c>
      <c r="G6" s="36" t="n">
        <f aca="false">Curves!F6</f>
        <v>0.92</v>
      </c>
      <c r="H6" s="36" t="n">
        <f aca="false">Curves!G6</f>
        <v>1</v>
      </c>
      <c r="I6" s="36" t="n">
        <f aca="false">Curves!H6</f>
        <v>1.04</v>
      </c>
      <c r="J6" s="36" t="n">
        <f aca="false">Curves!I6</f>
        <v>1.07</v>
      </c>
    </row>
    <row r="7" customFormat="false" ht="15" hidden="false" customHeight="false" outlineLevel="0" collapsed="false">
      <c r="A7" s="0" t="s">
        <v>361</v>
      </c>
      <c r="D7" s="33" t="n">
        <f aca="false">Inputs!$D$12*D6</f>
        <v>1978.62</v>
      </c>
      <c r="E7" s="33" t="n">
        <f aca="false">Inputs!$D$12*E6</f>
        <v>2665.08</v>
      </c>
      <c r="F7" s="33" t="n">
        <f aca="false">Inputs!$D$12*F6</f>
        <v>3230.4</v>
      </c>
      <c r="G7" s="33" t="n">
        <f aca="false">Inputs!$D$12*G6</f>
        <v>3714.96</v>
      </c>
      <c r="H7" s="33" t="n">
        <f aca="false">Inputs!$D$12*H6</f>
        <v>4038</v>
      </c>
      <c r="I7" s="33" t="n">
        <f aca="false">Inputs!$D$12*I6</f>
        <v>4199.52</v>
      </c>
      <c r="J7" s="33" t="n">
        <f aca="false">Inputs!$D$12*J6</f>
        <v>4320.66</v>
      </c>
    </row>
    <row r="8" customFormat="false" ht="15" hidden="false" customHeight="false" outlineLevel="0" collapsed="false">
      <c r="A8" s="0" t="s">
        <v>24</v>
      </c>
      <c r="D8" s="33" t="n">
        <f aca="false">Inputs!$D$13*D6</f>
        <v>7408.8</v>
      </c>
      <c r="E8" s="33" t="n">
        <f aca="false">Inputs!$D$13*E6</f>
        <v>9979.2</v>
      </c>
      <c r="F8" s="33" t="n">
        <f aca="false">Inputs!$D$13*F6</f>
        <v>12096</v>
      </c>
      <c r="G8" s="33" t="n">
        <f aca="false">Inputs!$D$13*G6</f>
        <v>13910.4</v>
      </c>
      <c r="H8" s="33" t="n">
        <f aca="false">Inputs!$D$13*H6</f>
        <v>15120</v>
      </c>
      <c r="I8" s="33" t="n">
        <f aca="false">Inputs!$D$13*I6</f>
        <v>15724.8</v>
      </c>
      <c r="J8" s="33" t="n">
        <f aca="false">Inputs!$D$13*J6</f>
        <v>16178.4</v>
      </c>
    </row>
    <row r="9" customFormat="false" ht="15" hidden="false" customHeight="false" outlineLevel="0" collapsed="false">
      <c r="A9" s="0" t="s">
        <v>25</v>
      </c>
      <c r="D9" s="33" t="n">
        <f aca="false">Inputs!$D$14*D6</f>
        <v>245</v>
      </c>
      <c r="E9" s="33" t="n">
        <f aca="false">Inputs!$D$14*E6</f>
        <v>330</v>
      </c>
      <c r="F9" s="33" t="n">
        <f aca="false">Inputs!$D$14*F6</f>
        <v>400</v>
      </c>
      <c r="G9" s="33" t="n">
        <f aca="false">Inputs!$D$14*G6</f>
        <v>460</v>
      </c>
      <c r="H9" s="33" t="n">
        <f aca="false">Inputs!$D$14*H6</f>
        <v>500</v>
      </c>
      <c r="I9" s="33" t="n">
        <f aca="false">Inputs!$D$14*I6</f>
        <v>520</v>
      </c>
      <c r="J9" s="33" t="n">
        <f aca="false">Inputs!$D$14*J6</f>
        <v>535</v>
      </c>
    </row>
    <row r="10" customFormat="false" ht="15" hidden="false" customHeight="false" outlineLevel="0" collapsed="false">
      <c r="A10" s="0" t="s">
        <v>362</v>
      </c>
      <c r="D10" s="33" t="n">
        <f aca="false">Inputs!$D$16</f>
        <v>4283</v>
      </c>
      <c r="E10" s="33" t="n">
        <f aca="false">D15</f>
        <v>6204.317441808</v>
      </c>
      <c r="F10" s="33" t="n">
        <f aca="false">E15</f>
        <v>8793.81007402131</v>
      </c>
      <c r="G10" s="33" t="n">
        <f aca="false">F15</f>
        <v>11937.2561462436</v>
      </c>
      <c r="H10" s="33" t="n">
        <f aca="false">G15</f>
        <v>15558.9054912556</v>
      </c>
      <c r="I10" s="33" t="n">
        <f aca="false">H15</f>
        <v>19504.9499008236</v>
      </c>
      <c r="J10" s="33" t="n">
        <f aca="false">I15</f>
        <v>23621.0174571693</v>
      </c>
    </row>
    <row r="11" customFormat="false" ht="15" hidden="false" customHeight="false" outlineLevel="0" collapsed="false">
      <c r="A11" s="0" t="s">
        <v>26</v>
      </c>
      <c r="D11" s="33" t="n">
        <f aca="false">D10*Inputs!$D$15</f>
        <v>2244.292</v>
      </c>
      <c r="E11" s="33" t="n">
        <f aca="false">E10*Inputs!$D$15</f>
        <v>3251.06233950739</v>
      </c>
      <c r="F11" s="33" t="n">
        <f aca="false">F10*Inputs!$D$15</f>
        <v>4607.95647878716</v>
      </c>
      <c r="G11" s="33" t="n">
        <f aca="false">G10*Inputs!$D$15</f>
        <v>6255.12222063162</v>
      </c>
      <c r="H11" s="33" t="n">
        <f aca="false">H10*Inputs!$D$15</f>
        <v>8152.86647741795</v>
      </c>
      <c r="I11" s="33" t="n">
        <f aca="false">I10*Inputs!$D$15</f>
        <v>10220.5937480316</v>
      </c>
      <c r="J11" s="33" t="n">
        <f aca="false">J10*Inputs!$D$15</f>
        <v>12377.4131475567</v>
      </c>
    </row>
    <row r="12" customFormat="false" ht="15" hidden="false" customHeight="false" outlineLevel="0" collapsed="false">
      <c r="A12" s="9" t="s">
        <v>363</v>
      </c>
      <c r="D12" s="37" t="n">
        <f aca="false">D7+D8+D9+D11</f>
        <v>11876.712</v>
      </c>
      <c r="E12" s="37" t="n">
        <f aca="false">E7+E8+E9+E11</f>
        <v>16225.3423395074</v>
      </c>
      <c r="F12" s="37" t="n">
        <f aca="false">F7+F8+F9+F11</f>
        <v>20334.3564787872</v>
      </c>
      <c r="G12" s="37" t="n">
        <f aca="false">G7+G8+G9+G11</f>
        <v>24340.4822206316</v>
      </c>
      <c r="H12" s="37" t="n">
        <f aca="false">H7+H8+H9+H11</f>
        <v>27810.866477418</v>
      </c>
      <c r="I12" s="37" t="n">
        <f aca="false">I7+I8+I9+I11</f>
        <v>30664.9137480316</v>
      </c>
      <c r="J12" s="37" t="n">
        <f aca="false">J7+J8+J9+J11</f>
        <v>33411.4731475567</v>
      </c>
    </row>
    <row r="13" customFormat="false" ht="15" hidden="false" customHeight="false" outlineLevel="0" collapsed="false">
      <c r="A13" s="0" t="s">
        <v>28</v>
      </c>
      <c r="D13" s="33" t="n">
        <f aca="false">D12*52</f>
        <v>617589.024</v>
      </c>
      <c r="E13" s="33" t="n">
        <f aca="false">E12*52</f>
        <v>843717.801654385</v>
      </c>
      <c r="F13" s="33" t="n">
        <f aca="false">F12*52</f>
        <v>1057386.53689693</v>
      </c>
      <c r="G13" s="33" t="n">
        <f aca="false">G12*52</f>
        <v>1265705.07547284</v>
      </c>
      <c r="H13" s="33" t="n">
        <f aca="false">H12*52</f>
        <v>1446165.05682573</v>
      </c>
      <c r="I13" s="33" t="n">
        <f aca="false">I12*52</f>
        <v>1594575.51489764</v>
      </c>
      <c r="J13" s="33" t="n">
        <f aca="false">J12*52</f>
        <v>1737396.60367295</v>
      </c>
    </row>
    <row r="14" customFormat="false" ht="15" hidden="false" customHeight="false" outlineLevel="0" collapsed="false">
      <c r="A14" s="0" t="s">
        <v>29</v>
      </c>
      <c r="D14" s="33" t="n">
        <f aca="false">D13*Inputs!$D$17*Inputs!$D$18</f>
        <v>2349.617441808</v>
      </c>
      <c r="E14" s="33" t="n">
        <f aca="false">E13*Inputs!$D$17*Inputs!$D$18</f>
        <v>3209.92437639411</v>
      </c>
      <c r="F14" s="33" t="n">
        <f aca="false">F13*Inputs!$D$17*Inputs!$D$18</f>
        <v>4022.82707962438</v>
      </c>
      <c r="G14" s="33" t="n">
        <f aca="false">G13*Inputs!$D$17*Inputs!$D$18</f>
        <v>4815.37495963644</v>
      </c>
      <c r="H14" s="33" t="n">
        <f aca="false">H13*Inputs!$D$17*Inputs!$D$18</f>
        <v>5501.9349586935</v>
      </c>
      <c r="I14" s="33" t="n">
        <f aca="false">I13*Inputs!$D$17*Inputs!$D$18</f>
        <v>6066.56254642807</v>
      </c>
      <c r="J14" s="33" t="n">
        <f aca="false">J13*Inputs!$D$17*Inputs!$D$18</f>
        <v>6609.92537867373</v>
      </c>
    </row>
    <row r="15" customFormat="false" ht="15" hidden="false" customHeight="false" outlineLevel="0" collapsed="false">
      <c r="A15" s="9" t="s">
        <v>364</v>
      </c>
      <c r="D15" s="37" t="n">
        <f aca="false">MIN(Inputs!$D$20,D10*(1-Inputs!$D$19)+D14)</f>
        <v>6204.317441808</v>
      </c>
      <c r="E15" s="37" t="n">
        <f aca="false">MIN(Inputs!$D$20,E10*(1-Inputs!$D$19)+E14)</f>
        <v>8793.81007402131</v>
      </c>
      <c r="F15" s="37" t="n">
        <f aca="false">MIN(Inputs!$D$20,F10*(1-Inputs!$D$19)+F14)</f>
        <v>11937.2561462436</v>
      </c>
      <c r="G15" s="37" t="n">
        <f aca="false">MIN(Inputs!$D$20,G10*(1-Inputs!$D$19)+G14)</f>
        <v>15558.9054912556</v>
      </c>
      <c r="H15" s="37" t="n">
        <f aca="false">MIN(Inputs!$D$20,H10*(1-Inputs!$D$19)+H14)</f>
        <v>19504.9499008236</v>
      </c>
      <c r="I15" s="37" t="n">
        <f aca="false">MIN(Inputs!$D$20,I10*(1-Inputs!$D$19)+I14)</f>
        <v>23621.0174571693</v>
      </c>
      <c r="J15" s="37" t="n">
        <f aca="false">MIN(Inputs!$D$20,J10*(1-Inputs!$D$19)+J14)</f>
        <v>27868.8410901261</v>
      </c>
    </row>
    <row r="16" customFormat="false" ht="15" hidden="false" customHeight="false" outlineLevel="0" collapsed="false">
      <c r="A16" s="0" t="s">
        <v>365</v>
      </c>
      <c r="D16" s="33" t="n">
        <f aca="false">D15*Inputs!$D$47</f>
        <v>186.12952325424</v>
      </c>
      <c r="E16" s="33" t="n">
        <f aca="false">E15*Inputs!$D$47</f>
        <v>263.814302220639</v>
      </c>
      <c r="F16" s="33" t="n">
        <f aca="false">F15*Inputs!$D$47</f>
        <v>358.117684387307</v>
      </c>
      <c r="G16" s="33" t="n">
        <f aca="false">G15*Inputs!$D$47</f>
        <v>466.767164737669</v>
      </c>
      <c r="H16" s="33" t="n">
        <f aca="false">H15*Inputs!$D$47</f>
        <v>585.148497024707</v>
      </c>
      <c r="I16" s="33" t="n">
        <f aca="false">I15*Inputs!$D$47</f>
        <v>708.630523715079</v>
      </c>
      <c r="J16" s="33" t="n">
        <f aca="false">J15*Inputs!$D$47</f>
        <v>836.065232703783</v>
      </c>
    </row>
    <row r="17" customFormat="false" ht="15" hidden="false" customHeight="false" outlineLevel="0" collapsed="false">
      <c r="A17" s="6" t="s">
        <v>366</v>
      </c>
      <c r="B17" s="7"/>
      <c r="C17" s="7"/>
      <c r="D17" s="7"/>
      <c r="E17" s="7"/>
      <c r="F17" s="7"/>
      <c r="G17" s="7"/>
      <c r="H17" s="7"/>
      <c r="I17" s="7"/>
      <c r="J17" s="7"/>
    </row>
    <row r="18" customFormat="false" ht="15" hidden="false" customHeight="false" outlineLevel="0" collapsed="false">
      <c r="A18" s="0" t="s">
        <v>367</v>
      </c>
      <c r="D18" s="32" t="n">
        <f aca="false">0</f>
        <v>0</v>
      </c>
      <c r="E18" s="32" t="n">
        <f aca="false">D23</f>
        <v>37225.904650848</v>
      </c>
      <c r="F18" s="32" t="n">
        <f aca="false">E23</f>
        <v>55740.9328161957</v>
      </c>
      <c r="G18" s="32" t="n">
        <f aca="false">F23</f>
        <v>76082.8115027571</v>
      </c>
      <c r="H18" s="32" t="n">
        <f aca="false">G23</f>
        <v>99440.0578677544</v>
      </c>
      <c r="I18" s="32" t="n">
        <f aca="false">H23</f>
        <v>124984.904034362</v>
      </c>
      <c r="J18" s="32" t="n">
        <f aca="false">I23</f>
        <v>151724.897065765</v>
      </c>
    </row>
    <row r="19" customFormat="false" ht="15" hidden="false" customHeight="false" outlineLevel="0" collapsed="false">
      <c r="A19" s="0" t="s">
        <v>368</v>
      </c>
      <c r="D19" s="32" t="n">
        <f aca="false">D15*Inputs!$D$38</f>
        <v>465323.8081356</v>
      </c>
      <c r="E19" s="32" t="n">
        <f aca="false">E15*Inputs!$D$38</f>
        <v>659535.755551598</v>
      </c>
      <c r="F19" s="32" t="n">
        <f aca="false">F15*Inputs!$D$38</f>
        <v>895294.210968267</v>
      </c>
      <c r="G19" s="32" t="n">
        <f aca="false">G15*Inputs!$D$38</f>
        <v>1166917.91184417</v>
      </c>
      <c r="H19" s="32" t="n">
        <f aca="false">H15*Inputs!$D$38</f>
        <v>1462871.24256177</v>
      </c>
      <c r="I19" s="32" t="n">
        <f aca="false">I15*Inputs!$D$38</f>
        <v>1771576.3092877</v>
      </c>
      <c r="J19" s="32" t="n">
        <f aca="false">J15*Inputs!$D$38</f>
        <v>2090163.08175946</v>
      </c>
    </row>
    <row r="20" customFormat="false" ht="15" hidden="false" customHeight="false" outlineLevel="0" collapsed="false">
      <c r="A20" s="0" t="s">
        <v>369</v>
      </c>
      <c r="D20" s="32" t="n">
        <f aca="false">D18+D19</f>
        <v>465323.8081356</v>
      </c>
      <c r="E20" s="32" t="n">
        <f aca="false">E18+E19</f>
        <v>696761.660202446</v>
      </c>
      <c r="F20" s="32" t="n">
        <f aca="false">F18+F19</f>
        <v>951035.143784462</v>
      </c>
      <c r="G20" s="32" t="n">
        <f aca="false">G18+G19</f>
        <v>1243000.72334693</v>
      </c>
      <c r="H20" s="32" t="n">
        <f aca="false">H18+H19</f>
        <v>1562311.30042952</v>
      </c>
      <c r="I20" s="32" t="n">
        <f aca="false">I18+I19</f>
        <v>1896561.21332206</v>
      </c>
      <c r="J20" s="32" t="n">
        <f aca="false">J18+J19</f>
        <v>2241887.97882522</v>
      </c>
    </row>
    <row r="21" customFormat="false" ht="15" hidden="false" customHeight="false" outlineLevel="0" collapsed="false">
      <c r="A21" s="0" t="s">
        <v>370</v>
      </c>
      <c r="D21" s="32" t="n">
        <f aca="false">-D20*Inputs!$D$39</f>
        <v>-381565.522671192</v>
      </c>
      <c r="E21" s="32" t="n">
        <f aca="false">-E20*Inputs!$D$39</f>
        <v>-571344.561366006</v>
      </c>
      <c r="F21" s="32" t="n">
        <f aca="false">-F20*Inputs!$D$39</f>
        <v>-779848.817903259</v>
      </c>
      <c r="G21" s="32" t="n">
        <f aca="false">-G20*Inputs!$D$39</f>
        <v>-1019260.59314448</v>
      </c>
      <c r="H21" s="32" t="n">
        <f aca="false">-H20*Inputs!$D$39</f>
        <v>-1281095.26635221</v>
      </c>
      <c r="I21" s="32" t="n">
        <f aca="false">-I20*Inputs!$D$39</f>
        <v>-1555180.19492409</v>
      </c>
      <c r="J21" s="32" t="n">
        <f aca="false">-J20*Inputs!$D$39</f>
        <v>-1838348.14263668</v>
      </c>
    </row>
    <row r="22" customFormat="false" ht="15" hidden="false" customHeight="false" outlineLevel="0" collapsed="false">
      <c r="A22" s="0" t="s">
        <v>371</v>
      </c>
      <c r="D22" s="32" t="n">
        <f aca="false">-D20*Inputs!$D$40</f>
        <v>-46532.38081356</v>
      </c>
      <c r="E22" s="32" t="n">
        <f aca="false">-E20*Inputs!$D$40</f>
        <v>-69676.1660202446</v>
      </c>
      <c r="F22" s="32" t="n">
        <f aca="false">-F20*Inputs!$D$40</f>
        <v>-95103.5143784462</v>
      </c>
      <c r="G22" s="32" t="n">
        <f aca="false">-G20*Inputs!$D$40</f>
        <v>-124300.072334693</v>
      </c>
      <c r="H22" s="32" t="n">
        <f aca="false">-H20*Inputs!$D$40</f>
        <v>-156231.130042952</v>
      </c>
      <c r="I22" s="32" t="n">
        <f aca="false">-I20*Inputs!$D$40</f>
        <v>-189656.121332206</v>
      </c>
      <c r="J22" s="32" t="n">
        <f aca="false">-J20*Inputs!$D$40</f>
        <v>-224188.797882522</v>
      </c>
    </row>
    <row r="23" customFormat="false" ht="15" hidden="false" customHeight="false" outlineLevel="0" collapsed="false">
      <c r="A23" s="9" t="s">
        <v>372</v>
      </c>
      <c r="D23" s="34" t="n">
        <f aca="false">D20+D21+D22</f>
        <v>37225.904650848</v>
      </c>
      <c r="E23" s="34" t="n">
        <f aca="false">E20+E21+E22</f>
        <v>55740.9328161957</v>
      </c>
      <c r="F23" s="34" t="n">
        <f aca="false">F20+F21+F22</f>
        <v>76082.8115027571</v>
      </c>
      <c r="G23" s="34" t="n">
        <f aca="false">G20+G21+G22</f>
        <v>99440.0578677544</v>
      </c>
      <c r="H23" s="34" t="n">
        <f aca="false">H20+H21+H22</f>
        <v>124984.904034362</v>
      </c>
      <c r="I23" s="34" t="n">
        <f aca="false">I20+I21+I22</f>
        <v>151724.897065765</v>
      </c>
      <c r="J23" s="34" t="n">
        <f aca="false">J20+J21+J22</f>
        <v>179351.038306018</v>
      </c>
    </row>
    <row r="24" customFormat="false" ht="15" hidden="false" customHeight="false" outlineLevel="0" collapsed="false">
      <c r="A24" s="6" t="s">
        <v>373</v>
      </c>
      <c r="B24" s="7"/>
      <c r="C24" s="7"/>
      <c r="D24" s="7"/>
      <c r="E24" s="7"/>
      <c r="F24" s="7"/>
      <c r="G24" s="7"/>
      <c r="H24" s="7"/>
      <c r="I24" s="7"/>
      <c r="J24" s="7"/>
    </row>
    <row r="25" customFormat="false" ht="15" hidden="false" customHeight="false" outlineLevel="0" collapsed="false">
      <c r="A25" s="0" t="s">
        <v>374</v>
      </c>
      <c r="D25" s="32" t="n">
        <f aca="false">Positions!$G$13*Inputs!$D$23</f>
        <v>494100</v>
      </c>
      <c r="E25" s="32" t="n">
        <f aca="false">Positions!$G$13*Inputs!$D$23</f>
        <v>494100</v>
      </c>
      <c r="F25" s="32" t="n">
        <f aca="false">Positions!$G$13*Inputs!$D$23</f>
        <v>494100</v>
      </c>
      <c r="G25" s="32" t="n">
        <f aca="false">Positions!$G$13*Inputs!$D$23</f>
        <v>494100</v>
      </c>
      <c r="H25" s="32" t="n">
        <f aca="false">Positions!$G$13*Inputs!$D$23</f>
        <v>494100</v>
      </c>
      <c r="I25" s="32" t="n">
        <f aca="false">Positions!$G$13*Inputs!$D$23</f>
        <v>494100</v>
      </c>
      <c r="J25" s="32" t="n">
        <f aca="false">Positions!$G$13*Inputs!$D$23</f>
        <v>494100</v>
      </c>
    </row>
    <row r="26" customFormat="false" ht="15" hidden="false" customHeight="false" outlineLevel="0" collapsed="false">
      <c r="A26" s="0" t="s">
        <v>338</v>
      </c>
      <c r="D26" s="33" t="n">
        <f aca="false">Positions!$C$14</f>
        <v>987</v>
      </c>
      <c r="E26" s="33" t="n">
        <f aca="false">Positions!$C$14</f>
        <v>987</v>
      </c>
      <c r="F26" s="33" t="n">
        <f aca="false">Positions!$C$14</f>
        <v>987</v>
      </c>
      <c r="G26" s="33" t="n">
        <f aca="false">Positions!$C$14</f>
        <v>987</v>
      </c>
      <c r="H26" s="33" t="n">
        <f aca="false">Positions!$C$14</f>
        <v>987</v>
      </c>
      <c r="I26" s="33" t="n">
        <f aca="false">Positions!$C$14</f>
        <v>987</v>
      </c>
      <c r="J26" s="33" t="n">
        <f aca="false">Positions!$C$14</f>
        <v>987</v>
      </c>
    </row>
    <row r="27" customFormat="false" ht="15" hidden="false" customHeight="false" outlineLevel="0" collapsed="false">
      <c r="A27" s="0" t="s">
        <v>375</v>
      </c>
      <c r="D27" s="36" t="n">
        <f aca="false">Curves!C11</f>
        <v>0.45</v>
      </c>
      <c r="E27" s="36" t="n">
        <f aca="false">Curves!D11</f>
        <v>0.7</v>
      </c>
      <c r="F27" s="36" t="n">
        <f aca="false">Curves!E11</f>
        <v>0.85</v>
      </c>
      <c r="G27" s="36" t="n">
        <f aca="false">Curves!F11</f>
        <v>0.92</v>
      </c>
      <c r="H27" s="36" t="n">
        <f aca="false">Curves!G11</f>
        <v>0.95</v>
      </c>
      <c r="I27" s="36" t="n">
        <f aca="false">Curves!H11</f>
        <v>0.95</v>
      </c>
      <c r="J27" s="36" t="n">
        <f aca="false">Curves!I11</f>
        <v>0.95</v>
      </c>
    </row>
    <row r="28" customFormat="false" ht="15" hidden="false" customHeight="false" outlineLevel="0" collapsed="false">
      <c r="A28" s="0" t="s">
        <v>36</v>
      </c>
      <c r="D28" s="33" t="n">
        <f aca="false">D26*Inputs!$D$24*D27</f>
        <v>222.075</v>
      </c>
      <c r="E28" s="33" t="n">
        <f aca="false">E26*Inputs!$D$24*E27</f>
        <v>345.45</v>
      </c>
      <c r="F28" s="33" t="n">
        <f aca="false">F26*Inputs!$D$24*F27</f>
        <v>419.475</v>
      </c>
      <c r="G28" s="33" t="n">
        <f aca="false">G26*Inputs!$D$24*G27</f>
        <v>454.02</v>
      </c>
      <c r="H28" s="33" t="n">
        <f aca="false">H26*Inputs!$D$24*H27</f>
        <v>468.825</v>
      </c>
      <c r="I28" s="33" t="n">
        <f aca="false">I26*Inputs!$D$24*I27</f>
        <v>468.825</v>
      </c>
      <c r="J28" s="33" t="n">
        <f aca="false">J26*Inputs!$D$24*J27</f>
        <v>468.825</v>
      </c>
    </row>
    <row r="29" customFormat="false" ht="15" hidden="false" customHeight="false" outlineLevel="0" collapsed="false">
      <c r="A29" s="0" t="s">
        <v>376</v>
      </c>
      <c r="D29" s="33" t="n">
        <f aca="false">D26*Inputs!$D$25*D27</f>
        <v>133.245</v>
      </c>
      <c r="E29" s="33" t="n">
        <f aca="false">E26*Inputs!$D$25*E27</f>
        <v>207.27</v>
      </c>
      <c r="F29" s="33" t="n">
        <f aca="false">F26*Inputs!$D$25*F27</f>
        <v>251.685</v>
      </c>
      <c r="G29" s="33" t="n">
        <f aca="false">G26*Inputs!$D$25*G27</f>
        <v>272.412</v>
      </c>
      <c r="H29" s="33" t="n">
        <f aca="false">H26*Inputs!$D$25*H27</f>
        <v>281.295</v>
      </c>
      <c r="I29" s="33" t="n">
        <f aca="false">I26*Inputs!$D$25*I27</f>
        <v>281.295</v>
      </c>
      <c r="J29" s="33" t="n">
        <f aca="false">J26*Inputs!$D$25*J27</f>
        <v>281.295</v>
      </c>
    </row>
    <row r="30" customFormat="false" ht="15" hidden="false" customHeight="false" outlineLevel="0" collapsed="false">
      <c r="A30" s="0" t="s">
        <v>377</v>
      </c>
      <c r="D30" s="33" t="n">
        <f aca="false">D26-D28-D29</f>
        <v>631.68</v>
      </c>
      <c r="E30" s="33" t="n">
        <f aca="false">E26-E28-E29</f>
        <v>434.28</v>
      </c>
      <c r="F30" s="33" t="n">
        <f aca="false">F26-F28-F29</f>
        <v>315.84</v>
      </c>
      <c r="G30" s="33" t="n">
        <f aca="false">G26-G28-G29</f>
        <v>260.568</v>
      </c>
      <c r="H30" s="33" t="n">
        <f aca="false">H26-H28-H29</f>
        <v>236.88</v>
      </c>
      <c r="I30" s="33" t="n">
        <f aca="false">I26-I28-I29</f>
        <v>236.88</v>
      </c>
      <c r="J30" s="33" t="n">
        <f aca="false">J26-J28-J29</f>
        <v>236.88</v>
      </c>
    </row>
    <row r="31" customFormat="false" ht="15" hidden="false" customHeight="false" outlineLevel="0" collapsed="false">
      <c r="A31" s="0" t="s">
        <v>378</v>
      </c>
      <c r="D31" s="36" t="n">
        <f aca="false">Curves!C16</f>
        <v>0.5</v>
      </c>
      <c r="E31" s="36" t="n">
        <f aca="false">Curves!D16</f>
        <v>0.72</v>
      </c>
      <c r="F31" s="36" t="n">
        <f aca="false">Curves!E16</f>
        <v>0.82</v>
      </c>
      <c r="G31" s="36" t="n">
        <f aca="false">Curves!F16</f>
        <v>0.85</v>
      </c>
      <c r="H31" s="36" t="n">
        <f aca="false">Curves!G16</f>
        <v>0.85</v>
      </c>
      <c r="I31" s="36" t="n">
        <f aca="false">Curves!H16</f>
        <v>0.85</v>
      </c>
      <c r="J31" s="36" t="n">
        <f aca="false">Curves!I16</f>
        <v>0.85</v>
      </c>
    </row>
    <row r="32" customFormat="false" ht="15" hidden="false" customHeight="false" outlineLevel="0" collapsed="false">
      <c r="A32" s="0" t="s">
        <v>379</v>
      </c>
      <c r="D32" s="36" t="n">
        <f aca="false">Curves!C21</f>
        <v>0.45</v>
      </c>
      <c r="E32" s="36" t="n">
        <f aca="false">Curves!D21</f>
        <v>0.68</v>
      </c>
      <c r="F32" s="36" t="n">
        <f aca="false">Curves!E21</f>
        <v>0.78</v>
      </c>
      <c r="G32" s="36" t="n">
        <f aca="false">Curves!F21</f>
        <v>0.82</v>
      </c>
      <c r="H32" s="36" t="n">
        <f aca="false">Curves!G21</f>
        <v>0.85</v>
      </c>
      <c r="I32" s="36" t="n">
        <f aca="false">Curves!H21</f>
        <v>0.85</v>
      </c>
      <c r="J32" s="36" t="n">
        <f aca="false">Curves!I21</f>
        <v>0.85</v>
      </c>
    </row>
    <row r="33" customFormat="false" ht="15" hidden="false" customHeight="false" outlineLevel="0" collapsed="false">
      <c r="A33" s="9" t="s">
        <v>380</v>
      </c>
      <c r="D33" s="37" t="n">
        <f aca="false">D28+D29*D31+D30*D32</f>
        <v>572.9535</v>
      </c>
      <c r="E33" s="37" t="n">
        <f aca="false">E28+E29*E31+E30*E32</f>
        <v>789.9948</v>
      </c>
      <c r="F33" s="37" t="n">
        <f aca="false">F28+F29*F31+F30*F32</f>
        <v>872.2119</v>
      </c>
      <c r="G33" s="37" t="n">
        <f aca="false">G28+G29*G31+G30*G32</f>
        <v>899.23596</v>
      </c>
      <c r="H33" s="37" t="n">
        <f aca="false">H28+H29*H31+H30*H32</f>
        <v>909.27375</v>
      </c>
      <c r="I33" s="37" t="n">
        <f aca="false">I28+I29*I31+I30*I32</f>
        <v>909.27375</v>
      </c>
      <c r="J33" s="37" t="n">
        <f aca="false">J28+J29*J31+J30*J32</f>
        <v>909.27375</v>
      </c>
    </row>
    <row r="34" customFormat="false" ht="15" hidden="false" customHeight="false" outlineLevel="0" collapsed="false">
      <c r="A34" s="0" t="s">
        <v>381</v>
      </c>
      <c r="D34" s="36" t="n">
        <f aca="false">D33/D26</f>
        <v>0.5805</v>
      </c>
      <c r="E34" s="36" t="n">
        <f aca="false">E33/E26</f>
        <v>0.8004</v>
      </c>
      <c r="F34" s="36" t="n">
        <f aca="false">F33/F26</f>
        <v>0.8837</v>
      </c>
      <c r="G34" s="36" t="n">
        <f aca="false">G33/G26</f>
        <v>0.91108</v>
      </c>
      <c r="H34" s="36" t="n">
        <f aca="false">H33/H26</f>
        <v>0.92125</v>
      </c>
      <c r="I34" s="36" t="n">
        <f aca="false">I33/I26</f>
        <v>0.92125</v>
      </c>
      <c r="J34" s="36" t="n">
        <f aca="false">J33/J26</f>
        <v>0.92125</v>
      </c>
    </row>
    <row r="35" customFormat="false" ht="15" hidden="false" customHeight="false" outlineLevel="0" collapsed="false">
      <c r="A35" s="0" t="s">
        <v>382</v>
      </c>
      <c r="D35" s="32" t="n">
        <f aca="false">D25/D26</f>
        <v>500.607902735562</v>
      </c>
      <c r="E35" s="32" t="n">
        <f aca="false">E25/E26</f>
        <v>500.607902735562</v>
      </c>
      <c r="F35" s="32" t="n">
        <f aca="false">F25/F26</f>
        <v>500.607902735562</v>
      </c>
      <c r="G35" s="32" t="n">
        <f aca="false">G25/G26</f>
        <v>500.607902735562</v>
      </c>
      <c r="H35" s="32" t="n">
        <f aca="false">H25/H26</f>
        <v>500.607902735562</v>
      </c>
      <c r="I35" s="32" t="n">
        <f aca="false">I25/I26</f>
        <v>500.607902735562</v>
      </c>
      <c r="J35" s="32" t="n">
        <f aca="false">J25/J26</f>
        <v>500.607902735562</v>
      </c>
    </row>
    <row r="36" customFormat="false" ht="15" hidden="false" customHeight="false" outlineLevel="0" collapsed="false">
      <c r="A36" s="0" t="s">
        <v>383</v>
      </c>
      <c r="D36" s="32" t="n">
        <f aca="false">D29*D35*12*Inputs!$D$26*D31</f>
        <v>800442</v>
      </c>
      <c r="E36" s="32" t="n">
        <f aca="false">E29*E35*12*Inputs!$D$26*E31</f>
        <v>1792990.08</v>
      </c>
      <c r="F36" s="32" t="n">
        <f aca="false">F29*F35*12*Inputs!$D$26*F31</f>
        <v>2479591.44</v>
      </c>
      <c r="G36" s="32" t="n">
        <f aca="false">G29*G35*12*Inputs!$D$26*G31</f>
        <v>2781980.64</v>
      </c>
      <c r="H36" s="32" t="n">
        <f aca="false">H29*H35*12*Inputs!$D$26*H31</f>
        <v>2872697.4</v>
      </c>
      <c r="I36" s="32" t="n">
        <f aca="false">I29*I35*12*Inputs!$D$26*I31</f>
        <v>2872697.4</v>
      </c>
      <c r="J36" s="32" t="n">
        <f aca="false">J29*J35*12*Inputs!$D$26*J31</f>
        <v>2872697.4</v>
      </c>
    </row>
    <row r="37" customFormat="false" ht="15" hidden="false" customHeight="false" outlineLevel="0" collapsed="false">
      <c r="A37" s="0" t="s">
        <v>384</v>
      </c>
      <c r="D37" s="32" t="n">
        <f aca="false">D36*Inputs!$D$27</f>
        <v>560309.4</v>
      </c>
      <c r="E37" s="32" t="n">
        <f aca="false">E36*Inputs!$D$27</f>
        <v>1255093.056</v>
      </c>
      <c r="F37" s="32" t="n">
        <f aca="false">F36*Inputs!$D$27</f>
        <v>1735714.008</v>
      </c>
      <c r="G37" s="32" t="n">
        <f aca="false">G36*Inputs!$D$27</f>
        <v>1947386.448</v>
      </c>
      <c r="H37" s="32" t="n">
        <f aca="false">H36*Inputs!$D$27</f>
        <v>2010888.18</v>
      </c>
      <c r="I37" s="32" t="n">
        <f aca="false">I36*Inputs!$D$27</f>
        <v>2010888.18</v>
      </c>
      <c r="J37" s="32" t="n">
        <f aca="false">J36*Inputs!$D$27</f>
        <v>2010888.18</v>
      </c>
    </row>
    <row r="38" customFormat="false" ht="15" hidden="false" customHeight="false" outlineLevel="0" collapsed="false">
      <c r="A38" s="0" t="s">
        <v>385</v>
      </c>
      <c r="D38" s="32" t="n">
        <f aca="false">IF(D29&gt;0,D37/D29-D35*12,0)</f>
        <v>-1802.18844984803</v>
      </c>
      <c r="E38" s="32" t="n">
        <f aca="false">IF(E29&gt;0,E37/E29-E35*12,0)</f>
        <v>48.0583586626126</v>
      </c>
      <c r="F38" s="32" t="n">
        <f aca="false">IF(F29&gt;0,F37/F29-F35*12,0)</f>
        <v>889.079635258358</v>
      </c>
      <c r="G38" s="32" t="n">
        <f aca="false">IF(G29&gt;0,G37/G29-G35*12,0)</f>
        <v>1141.38601823708</v>
      </c>
      <c r="H38" s="32" t="n">
        <f aca="false">IF(H29&gt;0,H37/H29-H35*12,0)</f>
        <v>1141.38601823708</v>
      </c>
      <c r="I38" s="32" t="n">
        <f aca="false">IF(I29&gt;0,I37/I29-I35*12,0)</f>
        <v>1141.38601823708</v>
      </c>
      <c r="J38" s="32" t="n">
        <f aca="false">IF(J29&gt;0,J37/J29-J35*12,0)</f>
        <v>1141.38601823708</v>
      </c>
    </row>
    <row r="39" customFormat="false" ht="15" hidden="false" customHeight="false" outlineLevel="0" collapsed="false">
      <c r="A39" s="0" t="s">
        <v>386</v>
      </c>
      <c r="D39" s="32" t="n">
        <f aca="false">MAX(0,D38/Inputs!$D$30)</f>
        <v>0</v>
      </c>
      <c r="E39" s="32" t="n">
        <f aca="false">MAX(0,E38/Inputs!$D$30)</f>
        <v>400.486322188438</v>
      </c>
      <c r="F39" s="32" t="n">
        <f aca="false">MAX(0,F38/Inputs!$D$30)</f>
        <v>7408.99696048632</v>
      </c>
      <c r="G39" s="32" t="n">
        <f aca="false">MAX(0,G38/Inputs!$D$30)</f>
        <v>9511.55015197568</v>
      </c>
      <c r="H39" s="32" t="n">
        <f aca="false">MAX(0,H38/Inputs!$D$30)</f>
        <v>9511.55015197567</v>
      </c>
      <c r="I39" s="32" t="n">
        <f aca="false">MAX(0,I38/Inputs!$D$30)</f>
        <v>9511.55015197567</v>
      </c>
      <c r="J39" s="32" t="n">
        <f aca="false">MAX(0,J38/Inputs!$D$30)</f>
        <v>9511.55015197567</v>
      </c>
    </row>
    <row r="40" customFormat="false" ht="15" hidden="false" customHeight="false" outlineLevel="0" collapsed="false">
      <c r="A40" s="6" t="s">
        <v>387</v>
      </c>
      <c r="B40" s="7"/>
      <c r="C40" s="7"/>
      <c r="D40" s="7"/>
      <c r="E40" s="7"/>
      <c r="F40" s="7"/>
      <c r="G40" s="7"/>
      <c r="H40" s="7"/>
      <c r="I40" s="7"/>
      <c r="J40" s="7"/>
    </row>
    <row r="41" customFormat="false" ht="15" hidden="false" customHeight="false" outlineLevel="0" collapsed="false">
      <c r="A41" s="0" t="s">
        <v>45</v>
      </c>
      <c r="B41" s="0" t="s">
        <v>388</v>
      </c>
      <c r="D41" s="32" t="n">
        <f aca="false">D28*D35*12</f>
        <v>1334070</v>
      </c>
      <c r="E41" s="32" t="n">
        <f aca="false">E28*E35*12</f>
        <v>2075220</v>
      </c>
      <c r="F41" s="32" t="n">
        <f aca="false">F28*F35*12</f>
        <v>2519910</v>
      </c>
      <c r="G41" s="32" t="n">
        <f aca="false">G28*G35*12</f>
        <v>2727432</v>
      </c>
      <c r="H41" s="32" t="n">
        <f aca="false">H28*H35*12</f>
        <v>2816370</v>
      </c>
      <c r="I41" s="32" t="n">
        <f aca="false">I28*I35*12</f>
        <v>2816370</v>
      </c>
      <c r="J41" s="32" t="n">
        <f aca="false">J28*J35*12</f>
        <v>2816370</v>
      </c>
    </row>
    <row r="42" customFormat="false" ht="15" hidden="false" customHeight="false" outlineLevel="0" collapsed="false">
      <c r="A42" s="0" t="s">
        <v>46</v>
      </c>
      <c r="B42" s="0" t="s">
        <v>388</v>
      </c>
      <c r="D42" s="32" t="n">
        <f aca="false">D29*D35*12</f>
        <v>800442</v>
      </c>
      <c r="E42" s="32" t="n">
        <f aca="false">E29*E35*12</f>
        <v>1245132</v>
      </c>
      <c r="F42" s="32" t="n">
        <f aca="false">F29*F35*12</f>
        <v>1511946</v>
      </c>
      <c r="G42" s="32" t="n">
        <f aca="false">G29*G35*12</f>
        <v>1636459.2</v>
      </c>
      <c r="H42" s="32" t="n">
        <f aca="false">H29*H35*12</f>
        <v>1689822</v>
      </c>
      <c r="I42" s="32" t="n">
        <f aca="false">I29*I35*12</f>
        <v>1689822</v>
      </c>
      <c r="J42" s="32" t="n">
        <f aca="false">J29*J35*12</f>
        <v>1689822</v>
      </c>
    </row>
    <row r="43" customFormat="false" ht="15" hidden="false" customHeight="false" outlineLevel="0" collapsed="false">
      <c r="A43" s="0" t="s">
        <v>47</v>
      </c>
      <c r="B43" s="0" t="s">
        <v>388</v>
      </c>
      <c r="D43" s="32" t="n">
        <f aca="false">D36*(1-Inputs!$D$27)</f>
        <v>240132.6</v>
      </c>
      <c r="E43" s="32" t="n">
        <f aca="false">E36*(1-Inputs!$D$27)</f>
        <v>537897.024</v>
      </c>
      <c r="F43" s="32" t="n">
        <f aca="false">F36*(1-Inputs!$D$27)</f>
        <v>743877.432</v>
      </c>
      <c r="G43" s="32" t="n">
        <f aca="false">G36*(1-Inputs!$D$27)</f>
        <v>834594.192</v>
      </c>
      <c r="H43" s="32" t="n">
        <f aca="false">H36*(1-Inputs!$D$27)</f>
        <v>861809.22</v>
      </c>
      <c r="I43" s="32" t="n">
        <f aca="false">I36*(1-Inputs!$D$27)</f>
        <v>861809.22</v>
      </c>
      <c r="J43" s="32" t="n">
        <f aca="false">J36*(1-Inputs!$D$27)</f>
        <v>861809.22</v>
      </c>
    </row>
    <row r="44" customFormat="false" ht="15" hidden="false" customHeight="false" outlineLevel="0" collapsed="false">
      <c r="A44" s="0" t="s">
        <v>48</v>
      </c>
      <c r="B44" s="0" t="s">
        <v>388</v>
      </c>
      <c r="D44" s="32" t="n">
        <f aca="false">D30*D35*12*Inputs!$D$26*D32</f>
        <v>3415219.2</v>
      </c>
      <c r="E44" s="32" t="n">
        <f aca="false">E30*E35*12*Inputs!$D$26*E32</f>
        <v>3548033.28</v>
      </c>
      <c r="F44" s="32" t="n">
        <f aca="false">F30*F35*12*Inputs!$D$26*F32</f>
        <v>2959856.64</v>
      </c>
      <c r="G44" s="32" t="n">
        <f aca="false">G30*G35*12*Inputs!$D$26*G32</f>
        <v>2567106.432</v>
      </c>
      <c r="H44" s="32" t="n">
        <f aca="false">H30*H35*12*Inputs!$D$26*H32</f>
        <v>2419113.6</v>
      </c>
      <c r="I44" s="32" t="n">
        <f aca="false">I30*I35*12*Inputs!$D$26*I32</f>
        <v>2419113.6</v>
      </c>
      <c r="J44" s="32" t="n">
        <f aca="false">J30*J35*12*Inputs!$D$26*J32</f>
        <v>2419113.6</v>
      </c>
    </row>
    <row r="45" customFormat="false" ht="15" hidden="false" customHeight="false" outlineLevel="0" collapsed="false">
      <c r="A45" s="0" t="s">
        <v>49</v>
      </c>
      <c r="B45" s="0" t="s">
        <v>388</v>
      </c>
      <c r="D45" s="32" t="n">
        <f aca="false">Inputs!$D$31*((D28+D29)-0)</f>
        <v>0</v>
      </c>
      <c r="E45" s="32" t="n">
        <f aca="false">Inputs!$D$31*((E28+E29)-(D28+D29))</f>
        <v>0</v>
      </c>
      <c r="F45" s="32" t="n">
        <f aca="false">Inputs!$D$31*((F28+F29)-(E28+E29))</f>
        <v>0</v>
      </c>
      <c r="G45" s="32" t="n">
        <f aca="false">Inputs!$D$31*((G28+G29)-(F28+F29))</f>
        <v>0</v>
      </c>
      <c r="H45" s="32" t="n">
        <f aca="false">Inputs!$D$31*((H28+H29)-(G28+G29))</f>
        <v>0</v>
      </c>
      <c r="I45" s="32" t="n">
        <f aca="false">Inputs!$D$31*((I28+I29)-(H28+H29))</f>
        <v>0</v>
      </c>
      <c r="J45" s="32" t="n">
        <f aca="false">Inputs!$D$31*((J28+J29)-(I28+I29))</f>
        <v>0</v>
      </c>
    </row>
    <row r="46" customFormat="false" ht="15" hidden="false" customHeight="false" outlineLevel="0" collapsed="false">
      <c r="A46" s="0" t="s">
        <v>50</v>
      </c>
      <c r="B46" s="0" t="s">
        <v>388</v>
      </c>
      <c r="D46" s="32" t="n">
        <f aca="false">(D28+D29)*Inputs!$D$29*D39*Inputs!$D$28</f>
        <v>0</v>
      </c>
      <c r="E46" s="32" t="n">
        <f aca="false">(E28+E29)*Inputs!$D$29*E39*Inputs!$D$28</f>
        <v>885.427199999975</v>
      </c>
      <c r="F46" s="32" t="n">
        <f aca="false">(F28+F29)*Inputs!$D$29*F39*Inputs!$D$28</f>
        <v>19890.4896</v>
      </c>
      <c r="G46" s="32" t="n">
        <f aca="false">(G28+G29)*Inputs!$D$29*G39*Inputs!$D$28</f>
        <v>27637.9776</v>
      </c>
      <c r="H46" s="32" t="n">
        <f aca="false">(H28+H29)*Inputs!$D$29*H39*Inputs!$D$28</f>
        <v>28539.216</v>
      </c>
      <c r="I46" s="32" t="n">
        <f aca="false">(I28+I29)*Inputs!$D$29*I39*Inputs!$D$28</f>
        <v>28539.216</v>
      </c>
      <c r="J46" s="32" t="n">
        <f aca="false">(J28+J29)*Inputs!$D$29*J39*Inputs!$D$28</f>
        <v>28539.216</v>
      </c>
    </row>
    <row r="47" customFormat="false" ht="15" hidden="false" customHeight="false" outlineLevel="0" collapsed="false">
      <c r="A47" s="0" t="s">
        <v>51</v>
      </c>
      <c r="B47" s="0" t="s">
        <v>388</v>
      </c>
      <c r="D47" s="32" t="n">
        <f aca="false">D33*Inputs!$D$32*MAX(0,MIN(1,(1*12-Inputs!$D$77)/12))</f>
        <v>123185.0025</v>
      </c>
      <c r="E47" s="32" t="n">
        <f aca="false">E33*Inputs!$D$32*MAX(0,MIN(1,(2*12-Inputs!$D$77)/12))</f>
        <v>339697.764</v>
      </c>
      <c r="F47" s="32" t="n">
        <f aca="false">F33*Inputs!$D$32*MAX(0,MIN(1,(3*12-Inputs!$D$77)/12))</f>
        <v>375051.117</v>
      </c>
      <c r="G47" s="32" t="n">
        <f aca="false">G33*Inputs!$D$32*MAX(0,MIN(1,(4*12-Inputs!$D$77)/12))</f>
        <v>386671.4628</v>
      </c>
      <c r="H47" s="32" t="n">
        <f aca="false">H33*Inputs!$D$32*MAX(0,MIN(1,(5*12-Inputs!$D$77)/12))</f>
        <v>390987.7125</v>
      </c>
      <c r="I47" s="32" t="n">
        <f aca="false">I33*Inputs!$D$32*MAX(0,MIN(1,(6*12-Inputs!$D$77)/12))</f>
        <v>390987.7125</v>
      </c>
      <c r="J47" s="32" t="n">
        <f aca="false">J33*Inputs!$D$32*MAX(0,MIN(1,(7*12-Inputs!$D$77)/12))</f>
        <v>390987.7125</v>
      </c>
    </row>
    <row r="48" customFormat="false" ht="15" hidden="false" customHeight="false" outlineLevel="0" collapsed="false">
      <c r="A48" s="0" t="s">
        <v>52</v>
      </c>
      <c r="B48" s="0" t="s">
        <v>388</v>
      </c>
      <c r="D48" s="32" t="n">
        <f aca="false">D13*Inputs!$D$42</f>
        <v>335913.029245638</v>
      </c>
      <c r="E48" s="32" t="n">
        <f aca="false">E13*Inputs!$D$42</f>
        <v>458906.799778545</v>
      </c>
      <c r="F48" s="32" t="n">
        <f aca="false">F13*Inputs!$D$42</f>
        <v>575123.424947079</v>
      </c>
      <c r="G48" s="32" t="n">
        <f aca="false">G13*Inputs!$D$42</f>
        <v>688430.023059578</v>
      </c>
      <c r="H48" s="32" t="n">
        <f aca="false">H13*Inputs!$D$42</f>
        <v>786584.065048933</v>
      </c>
      <c r="I48" s="32" t="n">
        <f aca="false">I13*Inputs!$D$42</f>
        <v>867306.041323348</v>
      </c>
      <c r="J48" s="32" t="n">
        <f aca="false">J13*Inputs!$D$42</f>
        <v>944987.902085617</v>
      </c>
    </row>
    <row r="49" customFormat="false" ht="15" hidden="false" customHeight="false" outlineLevel="0" collapsed="false">
      <c r="A49" s="0" t="s">
        <v>53</v>
      </c>
      <c r="B49" s="0" t="s">
        <v>388</v>
      </c>
      <c r="D49" s="32" t="n">
        <f aca="false">D13*Inputs!$D$43</f>
        <v>252431.684699385</v>
      </c>
      <c r="E49" s="32" t="n">
        <f aca="false">E13*Inputs!$D$43</f>
        <v>344858.956046599</v>
      </c>
      <c r="F49" s="32" t="n">
        <f aca="false">F13*Inputs!$D$43</f>
        <v>432193.343007568</v>
      </c>
      <c r="G49" s="32" t="n">
        <f aca="false">G13*Inputs!$D$43</f>
        <v>517340.90490276</v>
      </c>
      <c r="H49" s="32" t="n">
        <f aca="false">H13*Inputs!$D$43</f>
        <v>591101.634681742</v>
      </c>
      <c r="I49" s="32" t="n">
        <f aca="false">I13*Inputs!$D$43</f>
        <v>651762.52809506</v>
      </c>
      <c r="J49" s="32" t="n">
        <f aca="false">J13*Inputs!$D$43</f>
        <v>710138.837661973</v>
      </c>
    </row>
    <row r="50" customFormat="false" ht="15" hidden="false" customHeight="false" outlineLevel="0" collapsed="false">
      <c r="A50" s="0" t="s">
        <v>54</v>
      </c>
      <c r="B50" s="0" t="s">
        <v>388</v>
      </c>
      <c r="D50" s="32" t="n">
        <f aca="false">Inputs!$D$45</f>
        <v>175000</v>
      </c>
      <c r="E50" s="32" t="n">
        <f aca="false">Inputs!$D$45</f>
        <v>175000</v>
      </c>
      <c r="F50" s="32" t="n">
        <f aca="false">Inputs!$D$45</f>
        <v>175000</v>
      </c>
      <c r="G50" s="32" t="n">
        <f aca="false">Inputs!$D$45</f>
        <v>175000</v>
      </c>
      <c r="H50" s="32" t="n">
        <f aca="false">Inputs!$D$45</f>
        <v>175000</v>
      </c>
      <c r="I50" s="32" t="n">
        <f aca="false">Inputs!$D$45</f>
        <v>175000</v>
      </c>
      <c r="J50" s="32" t="n">
        <f aca="false">Inputs!$D$45</f>
        <v>175000</v>
      </c>
    </row>
    <row r="51" customFormat="false" ht="15" hidden="false" customHeight="false" outlineLevel="0" collapsed="false">
      <c r="A51" s="9" t="s">
        <v>55</v>
      </c>
      <c r="B51" s="38" t="s">
        <v>388</v>
      </c>
      <c r="D51" s="39" t="n">
        <f aca="false">SUM(D41:D50)</f>
        <v>6676393.51644502</v>
      </c>
      <c r="E51" s="39" t="n">
        <f aca="false">SUM(E41:E50)</f>
        <v>8725631.25102514</v>
      </c>
      <c r="F51" s="39" t="n">
        <f aca="false">SUM(F41:F50)</f>
        <v>9312848.44655465</v>
      </c>
      <c r="G51" s="39" t="n">
        <f aca="false">SUM(G41:G50)</f>
        <v>9560672.19236234</v>
      </c>
      <c r="H51" s="39" t="n">
        <f aca="false">SUM(H41:H50)</f>
        <v>9759327.44823067</v>
      </c>
      <c r="I51" s="39" t="n">
        <f aca="false">SUM(I41:I50)</f>
        <v>9900710.31791841</v>
      </c>
      <c r="J51" s="39" t="n">
        <f aca="false">SUM(J41:J50)</f>
        <v>10036768.4882476</v>
      </c>
    </row>
    <row r="52" customFormat="false" ht="15" hidden="false" customHeight="false" outlineLevel="0" collapsed="false">
      <c r="A52" s="6" t="s">
        <v>389</v>
      </c>
      <c r="B52" s="7"/>
      <c r="C52" s="7"/>
      <c r="D52" s="7"/>
      <c r="E52" s="7"/>
      <c r="F52" s="7"/>
      <c r="G52" s="7"/>
      <c r="H52" s="7"/>
      <c r="I52" s="7"/>
      <c r="J52" s="7"/>
    </row>
    <row r="53" customFormat="false" ht="15" hidden="false" customHeight="false" outlineLevel="0" collapsed="false">
      <c r="A53" s="0" t="s">
        <v>56</v>
      </c>
      <c r="B53" s="0" t="s">
        <v>390</v>
      </c>
      <c r="D53" s="32" t="n">
        <f aca="false">D13*Inputs!$D$35*MAX(0,MIN(1,(1*12-Inputs!$D$77)/12))</f>
        <v>148080.004016568</v>
      </c>
      <c r="E53" s="32" t="n">
        <f aca="false">E13*Inputs!$D$35*MAX(0,MIN(1,(2*12-Inputs!$D$77)/12))</f>
        <v>404598.302763332</v>
      </c>
      <c r="F53" s="32" t="n">
        <f aca="false">F13*Inputs!$D$35*MAX(0,MIN(1,(3*12-Inputs!$D$77)/12))</f>
        <v>507061.481166359</v>
      </c>
      <c r="G53" s="32" t="n">
        <f aca="false">G13*Inputs!$D$35*MAX(0,MIN(1,(4*12-Inputs!$D$77)/12))</f>
        <v>606959.014413474</v>
      </c>
      <c r="H53" s="32" t="n">
        <f aca="false">H13*Inputs!$D$35*MAX(0,MIN(1,(5*12-Inputs!$D$77)/12))</f>
        <v>693497.193445509</v>
      </c>
      <c r="I53" s="32" t="n">
        <f aca="false">I13*Inputs!$D$35*MAX(0,MIN(1,(6*12-Inputs!$D$77)/12))</f>
        <v>764666.273119401</v>
      </c>
      <c r="J53" s="32" t="n">
        <f aca="false">J13*Inputs!$D$35*MAX(0,MIN(1,(7*12-Inputs!$D$77)/12))</f>
        <v>833155.014264834</v>
      </c>
    </row>
    <row r="54" customFormat="false" ht="15" hidden="false" customHeight="false" outlineLevel="0" collapsed="false">
      <c r="A54" s="0" t="s">
        <v>57</v>
      </c>
      <c r="B54" s="0" t="s">
        <v>390</v>
      </c>
      <c r="D54" s="32" t="n">
        <f aca="false">D13*Inputs!$D$36</f>
        <v>636048.339400025</v>
      </c>
      <c r="E54" s="32" t="n">
        <f aca="false">E13*Inputs!$D$36</f>
        <v>868935.952243398</v>
      </c>
      <c r="F54" s="32" t="n">
        <f aca="false">F13*Inputs!$D$36</f>
        <v>1088991.10049151</v>
      </c>
      <c r="G54" s="32" t="n">
        <f aca="false">G13*Inputs!$D$36</f>
        <v>1303536.13833766</v>
      </c>
      <c r="H54" s="32" t="n">
        <f aca="false">H13*Inputs!$D$36</f>
        <v>1489389.94565478</v>
      </c>
      <c r="I54" s="32" t="n">
        <f aca="false">I13*Inputs!$D$36</f>
        <v>1642236.29126314</v>
      </c>
      <c r="J54" s="32" t="n">
        <f aca="false">J13*Inputs!$D$36</f>
        <v>1789326.20513253</v>
      </c>
    </row>
    <row r="55" customFormat="false" ht="15" hidden="false" customHeight="false" outlineLevel="0" collapsed="false">
      <c r="A55" s="0" t="s">
        <v>58</v>
      </c>
      <c r="B55" s="0" t="s">
        <v>390</v>
      </c>
      <c r="D55" s="32" t="n">
        <f aca="false">D15*Inputs!$D$37</f>
        <v>99269.079068928</v>
      </c>
      <c r="E55" s="32" t="n">
        <f aca="false">E15*Inputs!$D$37</f>
        <v>140700.961184341</v>
      </c>
      <c r="F55" s="32" t="n">
        <f aca="false">F15*Inputs!$D$37</f>
        <v>190996.098339897</v>
      </c>
      <c r="G55" s="32" t="n">
        <f aca="false">G15*Inputs!$D$37</f>
        <v>248942.48786009</v>
      </c>
      <c r="H55" s="32" t="n">
        <f aca="false">H15*Inputs!$D$37</f>
        <v>312079.198413177</v>
      </c>
      <c r="I55" s="32" t="n">
        <f aca="false">I15*Inputs!$D$37</f>
        <v>377936.279314709</v>
      </c>
      <c r="J55" s="32" t="n">
        <f aca="false">J15*Inputs!$D$37</f>
        <v>445901.457442018</v>
      </c>
    </row>
    <row r="56" customFormat="false" ht="15" hidden="false" customHeight="false" outlineLevel="0" collapsed="false">
      <c r="A56" s="0" t="s">
        <v>59</v>
      </c>
      <c r="B56" s="0" t="s">
        <v>390</v>
      </c>
      <c r="D56" s="32" t="n">
        <f aca="false">-D22</f>
        <v>46532.38081356</v>
      </c>
      <c r="E56" s="32" t="n">
        <f aca="false">-E22</f>
        <v>69676.1660202446</v>
      </c>
      <c r="F56" s="32" t="n">
        <f aca="false">-F22</f>
        <v>95103.5143784462</v>
      </c>
      <c r="G56" s="32" t="n">
        <f aca="false">-G22</f>
        <v>124300.072334693</v>
      </c>
      <c r="H56" s="32" t="n">
        <f aca="false">-H22</f>
        <v>156231.130042952</v>
      </c>
      <c r="I56" s="32" t="n">
        <f aca="false">-I22</f>
        <v>189656.121332206</v>
      </c>
      <c r="J56" s="32" t="n">
        <f aca="false">-J22</f>
        <v>224188.797882522</v>
      </c>
    </row>
    <row r="57" customFormat="false" ht="15" hidden="false" customHeight="false" outlineLevel="0" collapsed="false">
      <c r="A57" s="0" t="s">
        <v>60</v>
      </c>
      <c r="B57" s="0" t="s">
        <v>390</v>
      </c>
      <c r="D57" s="32" t="n">
        <f aca="false">D13*Inputs!$D$41*MAX(0,MIN(1,(1*12-Inputs!$D$78)/12))</f>
        <v>0</v>
      </c>
      <c r="E57" s="32" t="n">
        <f aca="false">E13*Inputs!$D$41*MAX(0,MIN(1,(2*12-Inputs!$D$78)/12))</f>
        <v>146632.941941073</v>
      </c>
      <c r="F57" s="32" t="n">
        <f aca="false">F13*Inputs!$D$41*MAX(0,MIN(1,(3*12-Inputs!$D$78)/12))</f>
        <v>183767.248207942</v>
      </c>
      <c r="G57" s="32" t="n">
        <f aca="false">G13*Inputs!$D$41*MAX(0,MIN(1,(4*12-Inputs!$D$78)/12))</f>
        <v>219971.723344481</v>
      </c>
      <c r="H57" s="32" t="n">
        <f aca="false">H13*Inputs!$D$41*MAX(0,MIN(1,(5*12-Inputs!$D$78)/12))</f>
        <v>251334.553329245</v>
      </c>
      <c r="I57" s="32" t="n">
        <f aca="false">I13*Inputs!$D$41*MAX(0,MIN(1,(6*12-Inputs!$D$78)/12))</f>
        <v>277127.374150655</v>
      </c>
      <c r="J57" s="32" t="n">
        <f aca="false">J13*Inputs!$D$41*MAX(0,MIN(1,(7*12-Inputs!$D$78)/12))</f>
        <v>301948.797116114</v>
      </c>
    </row>
    <row r="58" customFormat="false" ht="15" hidden="false" customHeight="false" outlineLevel="0" collapsed="false">
      <c r="A58" s="0" t="s">
        <v>61</v>
      </c>
      <c r="B58" s="0" t="s">
        <v>390</v>
      </c>
      <c r="D58" s="32" t="n">
        <f aca="false">D13*Inputs!$D$44*MAX(0,MIN(1,(1*12-Inputs!$D$76)/12))</f>
        <v>178888.595456257</v>
      </c>
      <c r="E58" s="32" t="n">
        <f aca="false">E13*Inputs!$D$44*MAX(0,MIN(1,(2*12-Inputs!$D$76)/12))</f>
        <v>325850.982091274</v>
      </c>
      <c r="F58" s="32" t="n">
        <f aca="false">F13*Inputs!$D$44*MAX(0,MIN(1,(3*12-Inputs!$D$76)/12))</f>
        <v>408371.662684316</v>
      </c>
      <c r="G58" s="32" t="n">
        <f aca="false">G13*Inputs!$D$44*MAX(0,MIN(1,(4*12-Inputs!$D$76)/12))</f>
        <v>488826.051876624</v>
      </c>
      <c r="H58" s="32" t="n">
        <f aca="false">H13*Inputs!$D$44*MAX(0,MIN(1,(5*12-Inputs!$D$76)/12))</f>
        <v>558521.229620544</v>
      </c>
      <c r="I58" s="32" t="n">
        <f aca="false">I13*Inputs!$D$44*MAX(0,MIN(1,(6*12-Inputs!$D$76)/12))</f>
        <v>615838.609223679</v>
      </c>
      <c r="J58" s="32" t="n">
        <f aca="false">J13*Inputs!$D$44*MAX(0,MIN(1,(7*12-Inputs!$D$76)/12))</f>
        <v>670997.326924699</v>
      </c>
    </row>
    <row r="59" customFormat="false" ht="15" hidden="false" customHeight="false" outlineLevel="0" collapsed="false">
      <c r="A59" s="0" t="s">
        <v>62</v>
      </c>
      <c r="B59" s="0" t="s">
        <v>390</v>
      </c>
      <c r="D59" s="40" t="n">
        <f aca="false">Inputs!$D$57*Inputs!$D$62*MAX(0,MIN(1,(1*12-Inputs!$D$80)/12))</f>
        <v>45000</v>
      </c>
      <c r="E59" s="40" t="n">
        <f aca="false">Inputs!$D$57*Inputs!$D$62*MAX(0,MIN(1,(2*12-Inputs!$D$80)/12))</f>
        <v>60000</v>
      </c>
      <c r="F59" s="40" t="n">
        <f aca="false">Inputs!$D$57*Inputs!$D$62*MAX(0,MIN(1,(3*12-Inputs!$D$80)/12))</f>
        <v>60000</v>
      </c>
      <c r="G59" s="40" t="n">
        <f aca="false">Inputs!$D$57*Inputs!$D$62*MAX(0,MIN(1,(4*12-Inputs!$D$80)/12))</f>
        <v>60000</v>
      </c>
      <c r="H59" s="40" t="n">
        <f aca="false">Inputs!$D$57*Inputs!$D$62*MAX(0,MIN(1,(5*12-Inputs!$D$80)/12))</f>
        <v>60000</v>
      </c>
      <c r="I59" s="40" t="n">
        <f aca="false">Inputs!$D$57*Inputs!$D$62*MAX(0,MIN(1,(6*12-Inputs!$D$80)/12))</f>
        <v>60000</v>
      </c>
      <c r="J59" s="40" t="n">
        <f aca="false">Inputs!$D$57*Inputs!$D$62*MAX(0,MIN(1,(7*12-Inputs!$D$80)/12))</f>
        <v>60000</v>
      </c>
    </row>
    <row r="60" customFormat="false" ht="15" hidden="false" customHeight="false" outlineLevel="0" collapsed="false">
      <c r="A60" s="0" t="s">
        <v>63</v>
      </c>
      <c r="B60" s="0" t="s">
        <v>390</v>
      </c>
      <c r="D60" s="40" t="n">
        <f aca="false">Inputs!$D$57*D13*Inputs!$D$60*Inputs!$D$61*MAX(0,MIN(1,(1*12-Inputs!$D$80)/12))</f>
        <v>46319.1768</v>
      </c>
      <c r="E60" s="40" t="n">
        <f aca="false">Inputs!$D$57*E13*Inputs!$D$60*Inputs!$D$61*MAX(0,MIN(1,(2*12-Inputs!$D$80)/12))</f>
        <v>84371.7801654385</v>
      </c>
      <c r="F60" s="40" t="n">
        <f aca="false">Inputs!$D$57*F13*Inputs!$D$60*Inputs!$D$61*MAX(0,MIN(1,(3*12-Inputs!$D$80)/12))</f>
        <v>105738.653689693</v>
      </c>
      <c r="G60" s="40" t="n">
        <f aca="false">Inputs!$D$57*G13*Inputs!$D$60*Inputs!$D$61*MAX(0,MIN(1,(4*12-Inputs!$D$80)/12))</f>
        <v>126570.507547284</v>
      </c>
      <c r="H60" s="40" t="n">
        <f aca="false">Inputs!$D$57*H13*Inputs!$D$60*Inputs!$D$61*MAX(0,MIN(1,(5*12-Inputs!$D$80)/12))</f>
        <v>144616.505682573</v>
      </c>
      <c r="I60" s="40" t="n">
        <f aca="false">Inputs!$D$57*I13*Inputs!$D$60*Inputs!$D$61*MAX(0,MIN(1,(6*12-Inputs!$D$80)/12))</f>
        <v>159457.551489764</v>
      </c>
      <c r="J60" s="40" t="n">
        <f aca="false">Inputs!$D$57*J13*Inputs!$D$60*Inputs!$D$61*MAX(0,MIN(1,(7*12-Inputs!$D$80)/12))</f>
        <v>173739.660367295</v>
      </c>
    </row>
    <row r="61" customFormat="false" ht="15" hidden="false" customHeight="false" outlineLevel="0" collapsed="false">
      <c r="A61" s="9" t="s">
        <v>64</v>
      </c>
      <c r="B61" s="38" t="s">
        <v>390</v>
      </c>
      <c r="D61" s="39" t="n">
        <f aca="false">SUM(D53:D60)</f>
        <v>1200137.57555534</v>
      </c>
      <c r="E61" s="39" t="n">
        <f aca="false">SUM(E53:E60)</f>
        <v>2100767.0864091</v>
      </c>
      <c r="F61" s="39" t="n">
        <f aca="false">SUM(F53:F60)</f>
        <v>2640029.75895816</v>
      </c>
      <c r="G61" s="39" t="n">
        <f aca="false">SUM(G53:G60)</f>
        <v>3179105.99571431</v>
      </c>
      <c r="H61" s="39" t="n">
        <f aca="false">SUM(H53:H60)</f>
        <v>3665669.75618878</v>
      </c>
      <c r="I61" s="39" t="n">
        <f aca="false">SUM(I53:I60)</f>
        <v>4086918.49989356</v>
      </c>
      <c r="J61" s="39" t="n">
        <f aca="false">SUM(J53:J60)</f>
        <v>4499257.25913001</v>
      </c>
    </row>
    <row r="62" customFormat="false" ht="15" hidden="false" customHeight="false" outlineLevel="0" collapsed="false">
      <c r="A62" s="9" t="s">
        <v>65</v>
      </c>
      <c r="D62" s="34" t="n">
        <f aca="false">D51+D61</f>
        <v>7876531.09200036</v>
      </c>
      <c r="E62" s="34" t="n">
        <f aca="false">E51+E61</f>
        <v>10826398.3374342</v>
      </c>
      <c r="F62" s="34" t="n">
        <f aca="false">F51+F61</f>
        <v>11952878.2055128</v>
      </c>
      <c r="G62" s="34" t="n">
        <f aca="false">G51+G61</f>
        <v>12739778.1880766</v>
      </c>
      <c r="H62" s="34" t="n">
        <f aca="false">H51+H61</f>
        <v>13424997.2044195</v>
      </c>
      <c r="I62" s="34" t="n">
        <f aca="false">I51+I61</f>
        <v>13987628.817812</v>
      </c>
      <c r="J62" s="34" t="n">
        <f aca="false">J51+J61</f>
        <v>14536025.7473776</v>
      </c>
    </row>
    <row r="63" customFormat="false" ht="15" hidden="false" customHeight="false" outlineLevel="0" collapsed="false">
      <c r="A63" s="6" t="s">
        <v>391</v>
      </c>
      <c r="B63" s="7"/>
      <c r="C63" s="7"/>
      <c r="D63" s="7"/>
      <c r="E63" s="7"/>
      <c r="F63" s="7"/>
      <c r="G63" s="7"/>
      <c r="H63" s="7"/>
      <c r="I63" s="7"/>
      <c r="J63" s="7"/>
    </row>
    <row r="64" customFormat="false" ht="15" hidden="false" customHeight="false" outlineLevel="0" collapsed="false">
      <c r="A64" s="0" t="s">
        <v>392</v>
      </c>
      <c r="D64" s="32" t="n">
        <f aca="false">-Inputs!$D$83</f>
        <v>-3400000</v>
      </c>
      <c r="E64" s="32" t="n">
        <f aca="false">-Inputs!$D$83</f>
        <v>-3400000</v>
      </c>
      <c r="F64" s="32" t="n">
        <f aca="false">-Inputs!$D$83</f>
        <v>-3400000</v>
      </c>
      <c r="G64" s="32" t="n">
        <f aca="false">-Inputs!$D$83</f>
        <v>-3400000</v>
      </c>
      <c r="H64" s="32" t="n">
        <f aca="false">-Inputs!$D$83</f>
        <v>-3400000</v>
      </c>
      <c r="I64" s="32" t="n">
        <f aca="false">-Inputs!$D$83</f>
        <v>-3400000</v>
      </c>
      <c r="J64" s="32" t="n">
        <f aca="false">-Inputs!$D$83</f>
        <v>-3400000</v>
      </c>
    </row>
    <row r="65" customFormat="false" ht="15" hidden="false" customHeight="false" outlineLevel="0" collapsed="false">
      <c r="A65" s="0" t="s">
        <v>270</v>
      </c>
      <c r="D65" s="32" t="n">
        <f aca="false">-Inputs!$D$84*Inputs!$D$6</f>
        <v>-600000</v>
      </c>
      <c r="E65" s="32" t="n">
        <f aca="false">-Inputs!$D$84*Inputs!$D$6</f>
        <v>-600000</v>
      </c>
      <c r="F65" s="32" t="n">
        <f aca="false">-Inputs!$D$84*Inputs!$D$6</f>
        <v>-600000</v>
      </c>
      <c r="G65" s="32" t="n">
        <f aca="false">-Inputs!$D$84*Inputs!$D$6</f>
        <v>-600000</v>
      </c>
      <c r="H65" s="32" t="n">
        <f aca="false">-Inputs!$D$84*Inputs!$D$6</f>
        <v>-600000</v>
      </c>
      <c r="I65" s="32" t="n">
        <f aca="false">-Inputs!$D$84*Inputs!$D$6</f>
        <v>-600000</v>
      </c>
      <c r="J65" s="32" t="n">
        <f aca="false">-Inputs!$D$84*Inputs!$D$6</f>
        <v>-600000</v>
      </c>
    </row>
    <row r="66" customFormat="false" ht="15" hidden="false" customHeight="false" outlineLevel="0" collapsed="false">
      <c r="A66" s="0" t="s">
        <v>393</v>
      </c>
      <c r="D66" s="32" t="n">
        <f aca="false">-Inputs!$D$85</f>
        <v>-150000</v>
      </c>
      <c r="E66" s="32" t="n">
        <f aca="false">-Inputs!$D$85</f>
        <v>-150000</v>
      </c>
      <c r="F66" s="32" t="n">
        <f aca="false">-Inputs!$D$85</f>
        <v>-150000</v>
      </c>
      <c r="G66" s="32" t="n">
        <f aca="false">-Inputs!$D$85</f>
        <v>-150000</v>
      </c>
      <c r="H66" s="32" t="n">
        <f aca="false">-Inputs!$D$85</f>
        <v>-150000</v>
      </c>
      <c r="I66" s="32" t="n">
        <f aca="false">-Inputs!$D$85</f>
        <v>-150000</v>
      </c>
      <c r="J66" s="32" t="n">
        <f aca="false">-Inputs!$D$85</f>
        <v>-150000</v>
      </c>
    </row>
    <row r="67" customFormat="false" ht="15" hidden="false" customHeight="false" outlineLevel="0" collapsed="false">
      <c r="A67" s="0" t="s">
        <v>394</v>
      </c>
      <c r="D67" s="32" t="n">
        <f aca="false">-Inputs!$D$86</f>
        <v>-250000</v>
      </c>
      <c r="E67" s="32" t="n">
        <f aca="false">-Inputs!$D$86</f>
        <v>-250000</v>
      </c>
      <c r="F67" s="32" t="n">
        <f aca="false">-Inputs!$D$86</f>
        <v>-250000</v>
      </c>
      <c r="G67" s="32" t="n">
        <f aca="false">-Inputs!$D$86</f>
        <v>-250000</v>
      </c>
      <c r="H67" s="32" t="n">
        <f aca="false">-Inputs!$D$86</f>
        <v>-250000</v>
      </c>
      <c r="I67" s="32" t="n">
        <f aca="false">-Inputs!$D$86</f>
        <v>-250000</v>
      </c>
      <c r="J67" s="32" t="n">
        <f aca="false">-Inputs!$D$86</f>
        <v>-250000</v>
      </c>
    </row>
    <row r="68" customFormat="false" ht="15" hidden="false" customHeight="false" outlineLevel="0" collapsed="false">
      <c r="A68" s="0" t="s">
        <v>273</v>
      </c>
      <c r="D68" s="32" t="n">
        <f aca="false">-Inputs!$D$87</f>
        <v>-200000</v>
      </c>
      <c r="E68" s="32" t="n">
        <f aca="false">-Inputs!$D$87</f>
        <v>-200000</v>
      </c>
      <c r="F68" s="32" t="n">
        <f aca="false">-Inputs!$D$87</f>
        <v>-200000</v>
      </c>
      <c r="G68" s="32" t="n">
        <f aca="false">-Inputs!$D$87</f>
        <v>-200000</v>
      </c>
      <c r="H68" s="32" t="n">
        <f aca="false">-Inputs!$D$87</f>
        <v>-200000</v>
      </c>
      <c r="I68" s="32" t="n">
        <f aca="false">-Inputs!$D$87</f>
        <v>-200000</v>
      </c>
      <c r="J68" s="32" t="n">
        <f aca="false">-Inputs!$D$87</f>
        <v>-200000</v>
      </c>
    </row>
    <row r="69" customFormat="false" ht="15" hidden="false" customHeight="false" outlineLevel="0" collapsed="false">
      <c r="A69" s="0" t="s">
        <v>395</v>
      </c>
      <c r="D69" s="32" t="n">
        <f aca="false">-Inputs!$D$88</f>
        <v>-250000</v>
      </c>
      <c r="E69" s="32" t="n">
        <f aca="false">-Inputs!$D$88</f>
        <v>-250000</v>
      </c>
      <c r="F69" s="32" t="n">
        <f aca="false">-Inputs!$D$88</f>
        <v>-250000</v>
      </c>
      <c r="G69" s="32" t="n">
        <f aca="false">-Inputs!$D$88</f>
        <v>-250000</v>
      </c>
      <c r="H69" s="32" t="n">
        <f aca="false">-Inputs!$D$88</f>
        <v>-250000</v>
      </c>
      <c r="I69" s="32" t="n">
        <f aca="false">-Inputs!$D$88</f>
        <v>-250000</v>
      </c>
      <c r="J69" s="32" t="n">
        <f aca="false">-Inputs!$D$88</f>
        <v>-250000</v>
      </c>
    </row>
    <row r="70" customFormat="false" ht="15" hidden="false" customHeight="false" outlineLevel="0" collapsed="false">
      <c r="A70" s="0" t="s">
        <v>396</v>
      </c>
      <c r="D70" s="32" t="n">
        <f aca="false">-D13*Inputs!$D$89</f>
        <v>-370553.4144</v>
      </c>
      <c r="E70" s="32" t="n">
        <f aca="false">-E13*Inputs!$D$89</f>
        <v>-506230.680992631</v>
      </c>
      <c r="F70" s="32" t="n">
        <f aca="false">-F13*Inputs!$D$89</f>
        <v>-634431.92213816</v>
      </c>
      <c r="G70" s="32" t="n">
        <f aca="false">-G13*Inputs!$D$89</f>
        <v>-759423.045283707</v>
      </c>
      <c r="H70" s="32" t="n">
        <f aca="false">-H13*Inputs!$D$89</f>
        <v>-867699.03409544</v>
      </c>
      <c r="I70" s="32" t="n">
        <f aca="false">-I13*Inputs!$D$89</f>
        <v>-956745.308938584</v>
      </c>
      <c r="J70" s="32" t="n">
        <f aca="false">-J13*Inputs!$D$89</f>
        <v>-1042437.96220377</v>
      </c>
    </row>
    <row r="71" customFormat="false" ht="15" hidden="false" customHeight="false" outlineLevel="0" collapsed="false">
      <c r="A71" s="0" t="s">
        <v>397</v>
      </c>
      <c r="D71" s="32" t="n">
        <f aca="false">-(D48*Inputs!$D$90+D49*Inputs!$D$91+D58*Inputs!$D$92+D47*Inputs!$D$93)</f>
        <v>-392635.785397107</v>
      </c>
      <c r="E71" s="32" t="n">
        <f aca="false">-(E48*Inputs!$D$90+E49*Inputs!$D$91+E58*Inputs!$D$92+E47*Inputs!$D$93)</f>
        <v>-646541.714551027</v>
      </c>
      <c r="F71" s="32" t="n">
        <f aca="false">-(F48*Inputs!$D$90+F49*Inputs!$D$91+F58*Inputs!$D$92+F47*Inputs!$D$93)</f>
        <v>-784939.270035264</v>
      </c>
      <c r="G71" s="32" t="n">
        <f aca="false">-(G48*Inputs!$D$90+G49*Inputs!$D$91+G58*Inputs!$D$92+G47*Inputs!$D$93)</f>
        <v>-908447.509791177</v>
      </c>
      <c r="H71" s="32" t="n">
        <f aca="false">-(H48*Inputs!$D$90+H49*Inputs!$D$91+H58*Inputs!$D$92+H47*Inputs!$D$93)</f>
        <v>-1012563.87174905</v>
      </c>
      <c r="I71" s="32" t="n">
        <f aca="false">-(I48*Inputs!$D$90+I49*Inputs!$D$91+I58*Inputs!$D$92+I47*Inputs!$D$93)</f>
        <v>-1096414.42166014</v>
      </c>
      <c r="J71" s="32" t="n">
        <f aca="false">-(J48*Inputs!$D$90+J49*Inputs!$D$91+J58*Inputs!$D$92+J47*Inputs!$D$93)</f>
        <v>-1177107.02909692</v>
      </c>
    </row>
    <row r="72" customFormat="false" ht="15" hidden="false" customHeight="false" outlineLevel="0" collapsed="false">
      <c r="A72" s="0" t="s">
        <v>398</v>
      </c>
      <c r="D72" s="32" t="n">
        <f aca="false">-MAX(0,D62*Inputs!$D$94-Inputs!$D$95)</f>
        <v>-322591.865520022</v>
      </c>
      <c r="E72" s="32" t="n">
        <f aca="false">-MAX(0,E62*Inputs!$D$94-Inputs!$D$95)</f>
        <v>-499583.900246055</v>
      </c>
      <c r="F72" s="32" t="n">
        <f aca="false">-MAX(0,F62*Inputs!$D$94-Inputs!$D$95)</f>
        <v>-567172.692330769</v>
      </c>
      <c r="G72" s="32" t="n">
        <f aca="false">-MAX(0,G62*Inputs!$D$94-Inputs!$D$95)</f>
        <v>-614386.691284599</v>
      </c>
      <c r="H72" s="32" t="n">
        <f aca="false">-MAX(0,H62*Inputs!$D$94-Inputs!$D$95)</f>
        <v>-655499.832265168</v>
      </c>
      <c r="I72" s="32" t="n">
        <f aca="false">-MAX(0,I62*Inputs!$D$94-Inputs!$D$95)</f>
        <v>-689257.729068718</v>
      </c>
      <c r="J72" s="32" t="n">
        <f aca="false">-MAX(0,J62*Inputs!$D$94-Inputs!$D$95)</f>
        <v>-722161.544842656</v>
      </c>
    </row>
    <row r="73" customFormat="false" ht="15" hidden="false" customHeight="false" outlineLevel="0" collapsed="false">
      <c r="A73" s="0" t="s">
        <v>286</v>
      </c>
      <c r="D73" s="32" t="n">
        <f aca="false">-D62*Inputs!$D$96</f>
        <v>-157530.621840007</v>
      </c>
      <c r="E73" s="32" t="n">
        <f aca="false">-E62*Inputs!$D$96</f>
        <v>-216527.966748685</v>
      </c>
      <c r="F73" s="32" t="n">
        <f aca="false">-F62*Inputs!$D$96</f>
        <v>-239057.564110256</v>
      </c>
      <c r="G73" s="32" t="n">
        <f aca="false">-G62*Inputs!$D$96</f>
        <v>-254795.563761533</v>
      </c>
      <c r="H73" s="32" t="n">
        <f aca="false">-H62*Inputs!$D$96</f>
        <v>-268499.944088389</v>
      </c>
      <c r="I73" s="32" t="n">
        <f aca="false">-I62*Inputs!$D$96</f>
        <v>-279752.576356239</v>
      </c>
      <c r="J73" s="32" t="n">
        <f aca="false">-J62*Inputs!$D$96</f>
        <v>-290720.514947552</v>
      </c>
    </row>
    <row r="74" customFormat="false" ht="15" hidden="false" customHeight="false" outlineLevel="0" collapsed="false">
      <c r="A74" s="0" t="s">
        <v>399</v>
      </c>
      <c r="D74" s="40" t="n">
        <f aca="false">-Inputs!$D$57*Inputs!$D$65*MAX(0,MIN(1,(1*12-Inputs!$D$80)/12))</f>
        <v>-90000</v>
      </c>
      <c r="E74" s="40" t="n">
        <f aca="false">-Inputs!$D$57*Inputs!$D$65*MAX(0,MIN(1,(2*12-Inputs!$D$80)/12))</f>
        <v>-120000</v>
      </c>
      <c r="F74" s="40" t="n">
        <f aca="false">-Inputs!$D$57*Inputs!$D$65*MAX(0,MIN(1,(3*12-Inputs!$D$80)/12))</f>
        <v>-120000</v>
      </c>
      <c r="G74" s="40" t="n">
        <f aca="false">-Inputs!$D$57*Inputs!$D$65*MAX(0,MIN(1,(4*12-Inputs!$D$80)/12))</f>
        <v>-120000</v>
      </c>
      <c r="H74" s="40" t="n">
        <f aca="false">-Inputs!$D$57*Inputs!$D$65*MAX(0,MIN(1,(5*12-Inputs!$D$80)/12))</f>
        <v>-120000</v>
      </c>
      <c r="I74" s="40" t="n">
        <f aca="false">-Inputs!$D$57*Inputs!$D$65*MAX(0,MIN(1,(6*12-Inputs!$D$80)/12))</f>
        <v>-120000</v>
      </c>
      <c r="J74" s="40" t="n">
        <f aca="false">-Inputs!$D$57*Inputs!$D$65*MAX(0,MIN(1,(7*12-Inputs!$D$80)/12))</f>
        <v>-120000</v>
      </c>
    </row>
    <row r="75" customFormat="false" ht="15" hidden="false" customHeight="false" outlineLevel="0" collapsed="false">
      <c r="A75" s="9" t="s">
        <v>400</v>
      </c>
      <c r="D75" s="34" t="n">
        <f aca="false">SUM(D64:D74)</f>
        <v>-6183311.68715714</v>
      </c>
      <c r="E75" s="34" t="n">
        <f aca="false">SUM(E64:E74)</f>
        <v>-6838884.2625384</v>
      </c>
      <c r="F75" s="34" t="n">
        <f aca="false">SUM(F64:F74)</f>
        <v>-7195601.44861445</v>
      </c>
      <c r="G75" s="34" t="n">
        <f aca="false">SUM(G64:G74)</f>
        <v>-7507052.81012102</v>
      </c>
      <c r="H75" s="34" t="n">
        <f aca="false">SUM(H64:H74)</f>
        <v>-7774262.68219805</v>
      </c>
      <c r="I75" s="34" t="n">
        <f aca="false">SUM(I64:I74)</f>
        <v>-7992170.03602368</v>
      </c>
      <c r="J75" s="34" t="n">
        <f aca="false">SUM(J64:J74)</f>
        <v>-8202427.0510909</v>
      </c>
    </row>
    <row r="76" customFormat="false" ht="15" hidden="false" customHeight="false" outlineLevel="0" collapsed="false">
      <c r="A76" s="9" t="s">
        <v>87</v>
      </c>
      <c r="D76" s="34" t="n">
        <f aca="false">D62+D75</f>
        <v>1693219.40484323</v>
      </c>
      <c r="E76" s="34" t="n">
        <f aca="false">E62+E75</f>
        <v>3987514.07489585</v>
      </c>
      <c r="F76" s="34" t="n">
        <f aca="false">F62+F75</f>
        <v>4757276.75689836</v>
      </c>
      <c r="G76" s="34" t="n">
        <f aca="false">G62+G75</f>
        <v>5232725.37795563</v>
      </c>
      <c r="H76" s="34" t="n">
        <f aca="false">H62+H75</f>
        <v>5650734.52222141</v>
      </c>
      <c r="I76" s="34" t="n">
        <f aca="false">I62+I75</f>
        <v>5995458.78178828</v>
      </c>
      <c r="J76" s="34" t="n">
        <f aca="false">J62+J75</f>
        <v>6333598.6962867</v>
      </c>
    </row>
    <row r="77" customFormat="false" ht="15" hidden="false" customHeight="false" outlineLevel="0" collapsed="false">
      <c r="A77" s="0" t="s">
        <v>257</v>
      </c>
      <c r="D77" s="32" t="n">
        <f aca="false">-MAX(0,D76)*Inputs!$D$73</f>
        <v>-423304.851210807</v>
      </c>
      <c r="E77" s="32" t="n">
        <f aca="false">-MAX(0,E76)*Inputs!$D$73</f>
        <v>-996878.518723963</v>
      </c>
      <c r="F77" s="32" t="n">
        <f aca="false">-MAX(0,F76)*Inputs!$D$73</f>
        <v>-1189319.18922459</v>
      </c>
      <c r="G77" s="32" t="n">
        <f aca="false">-MAX(0,G76)*Inputs!$D$73</f>
        <v>-1308181.34448891</v>
      </c>
      <c r="H77" s="32" t="n">
        <f aca="false">-MAX(0,H76)*Inputs!$D$73</f>
        <v>-1412683.63055535</v>
      </c>
      <c r="I77" s="32" t="n">
        <f aca="false">-MAX(0,I76)*Inputs!$D$73</f>
        <v>-1498864.69544707</v>
      </c>
      <c r="J77" s="32" t="n">
        <f aca="false">-MAX(0,J76)*Inputs!$D$73</f>
        <v>-1583399.67407168</v>
      </c>
    </row>
    <row r="78" customFormat="false" ht="15" hidden="false" customHeight="false" outlineLevel="0" collapsed="false">
      <c r="A78" s="9" t="s">
        <v>89</v>
      </c>
      <c r="D78" s="39" t="n">
        <f aca="false">D76+D77</f>
        <v>1269914.55363242</v>
      </c>
      <c r="E78" s="39" t="n">
        <f aca="false">E76+E77</f>
        <v>2990635.55617189</v>
      </c>
      <c r="F78" s="39" t="n">
        <f aca="false">F76+F77</f>
        <v>3567957.56767377</v>
      </c>
      <c r="G78" s="39" t="n">
        <f aca="false">G76+G77</f>
        <v>3924544.03346672</v>
      </c>
      <c r="H78" s="39" t="n">
        <f aca="false">H76+H77</f>
        <v>4238050.89166606</v>
      </c>
      <c r="I78" s="39" t="n">
        <f aca="false">I76+I77</f>
        <v>4496594.08634121</v>
      </c>
      <c r="J78" s="39" t="n">
        <f aca="false">J76+J77</f>
        <v>4750199.02221503</v>
      </c>
    </row>
    <row r="79" customFormat="false" ht="15" hidden="false" customHeight="false" outlineLevel="0" collapsed="false">
      <c r="A79" s="6" t="s">
        <v>401</v>
      </c>
      <c r="B79" s="7"/>
      <c r="C79" s="7"/>
      <c r="D79" s="7"/>
      <c r="E79" s="7"/>
      <c r="F79" s="7"/>
      <c r="G79" s="7"/>
      <c r="H79" s="7"/>
      <c r="I79" s="7"/>
      <c r="J79" s="7"/>
    </row>
    <row r="80" customFormat="false" ht="15" hidden="false" customHeight="false" outlineLevel="0" collapsed="false">
      <c r="A80" s="0" t="s">
        <v>67</v>
      </c>
      <c r="B80" s="0" t="s">
        <v>390</v>
      </c>
      <c r="D80" s="32" t="n">
        <f aca="false">D15*Inputs!$D$46</f>
        <v>1495240.50347573</v>
      </c>
      <c r="E80" s="32" t="n">
        <f aca="false">E15*Inputs!$D$46</f>
        <v>2119308.22783913</v>
      </c>
      <c r="F80" s="32" t="n">
        <f aca="false">F15*Inputs!$D$46</f>
        <v>2876878.7312447</v>
      </c>
      <c r="G80" s="32" t="n">
        <f aca="false">G15*Inputs!$D$46</f>
        <v>3749696.22339261</v>
      </c>
      <c r="H80" s="32" t="n">
        <f aca="false">H15*Inputs!$D$46</f>
        <v>4700692.92609848</v>
      </c>
      <c r="I80" s="32" t="n">
        <f aca="false">I15*Inputs!$D$46</f>
        <v>5692665.2071778</v>
      </c>
      <c r="J80" s="32" t="n">
        <f aca="false">J15*Inputs!$D$46</f>
        <v>6716390.70272039</v>
      </c>
    </row>
    <row r="81" customFormat="false" ht="15" hidden="false" customHeight="false" outlineLevel="0" collapsed="false">
      <c r="A81" s="0" t="s">
        <v>68</v>
      </c>
      <c r="B81" s="0" t="s">
        <v>390</v>
      </c>
      <c r="D81" s="32" t="n">
        <f aca="false">D16*Inputs!$D$46*0.5</f>
        <v>22428.6075521359</v>
      </c>
      <c r="E81" s="32" t="n">
        <f aca="false">E16*Inputs!$D$46*0.5</f>
        <v>31789.623417587</v>
      </c>
      <c r="F81" s="32" t="n">
        <f aca="false">F16*Inputs!$D$46*0.5</f>
        <v>43153.1809686705</v>
      </c>
      <c r="G81" s="32" t="n">
        <f aca="false">G16*Inputs!$D$46*0.5</f>
        <v>56245.4433508891</v>
      </c>
      <c r="H81" s="32" t="n">
        <f aca="false">H16*Inputs!$D$46*0.5</f>
        <v>70510.3938914772</v>
      </c>
      <c r="I81" s="32" t="n">
        <f aca="false">I16*Inputs!$D$46*0.5</f>
        <v>85389.978107667</v>
      </c>
      <c r="J81" s="32" t="n">
        <f aca="false">J16*Inputs!$D$46*0.5</f>
        <v>100745.860540806</v>
      </c>
    </row>
    <row r="82" customFormat="false" ht="15" hidden="false" customHeight="false" outlineLevel="0" collapsed="false">
      <c r="A82" s="0" t="s">
        <v>69</v>
      </c>
      <c r="B82" s="0" t="s">
        <v>390</v>
      </c>
      <c r="D82" s="32" t="n">
        <f aca="false">Inputs!$D$48*Inputs!$D$49*MAX(0,MIN(1,(1*12-Inputs!$D$77)/12))</f>
        <v>18000</v>
      </c>
      <c r="E82" s="32" t="n">
        <f aca="false">Inputs!$D$48*Inputs!$D$49*MAX(0,MIN(1,(2*12-Inputs!$D$77)/12))</f>
        <v>36000</v>
      </c>
      <c r="F82" s="32" t="n">
        <f aca="false">Inputs!$D$48*Inputs!$D$49*MAX(0,MIN(1,(3*12-Inputs!$D$77)/12))</f>
        <v>36000</v>
      </c>
      <c r="G82" s="32" t="n">
        <f aca="false">Inputs!$D$48*Inputs!$D$49*MAX(0,MIN(1,(4*12-Inputs!$D$77)/12))</f>
        <v>36000</v>
      </c>
      <c r="H82" s="32" t="n">
        <f aca="false">Inputs!$D$48*Inputs!$D$49*MAX(0,MIN(1,(5*12-Inputs!$D$77)/12))</f>
        <v>36000</v>
      </c>
      <c r="I82" s="32" t="n">
        <f aca="false">Inputs!$D$48*Inputs!$D$49*MAX(0,MIN(1,(6*12-Inputs!$D$77)/12))</f>
        <v>36000</v>
      </c>
      <c r="J82" s="32" t="n">
        <f aca="false">Inputs!$D$48*Inputs!$D$49*MAX(0,MIN(1,(7*12-Inputs!$D$77)/12))</f>
        <v>36000</v>
      </c>
    </row>
    <row r="83" customFormat="false" ht="15" hidden="false" customHeight="false" outlineLevel="0" collapsed="false">
      <c r="A83" s="0" t="s">
        <v>70</v>
      </c>
      <c r="B83" s="0" t="s">
        <v>390</v>
      </c>
      <c r="D83" s="32" t="n">
        <f aca="false">Inputs!$D$50*Inputs!$D$51</f>
        <v>225000</v>
      </c>
      <c r="E83" s="32" t="n">
        <f aca="false">Inputs!$D$50*Inputs!$D$51</f>
        <v>225000</v>
      </c>
      <c r="F83" s="32" t="n">
        <f aca="false">Inputs!$D$50*Inputs!$D$51</f>
        <v>225000</v>
      </c>
      <c r="G83" s="32" t="n">
        <f aca="false">Inputs!$D$50*Inputs!$D$51</f>
        <v>225000</v>
      </c>
      <c r="H83" s="32" t="n">
        <f aca="false">Inputs!$D$50*Inputs!$D$51</f>
        <v>225000</v>
      </c>
      <c r="I83" s="32" t="n">
        <f aca="false">Inputs!$D$50*Inputs!$D$51</f>
        <v>225000</v>
      </c>
      <c r="J83" s="32" t="n">
        <f aca="false">Inputs!$D$50*Inputs!$D$51</f>
        <v>225000</v>
      </c>
    </row>
    <row r="84" customFormat="false" ht="15" hidden="false" customHeight="false" outlineLevel="0" collapsed="false">
      <c r="A84" s="0" t="s">
        <v>71</v>
      </c>
      <c r="B84" s="0" t="s">
        <v>390</v>
      </c>
      <c r="D84" s="32" t="n">
        <f aca="false">D15*Inputs!$D$52*MAX(0,MIN(1,(1*12-Inputs!$D$79)/12))</f>
        <v>0</v>
      </c>
      <c r="E84" s="32" t="n">
        <f aca="false">E15*Inputs!$D$52*MAX(0,MIN(1,(2*12-Inputs!$D$79)/12))</f>
        <v>52762.8604441278</v>
      </c>
      <c r="F84" s="32" t="n">
        <f aca="false">F15*Inputs!$D$52*MAX(0,MIN(1,(3*12-Inputs!$D$79)/12))</f>
        <v>143247.073754923</v>
      </c>
      <c r="G84" s="32" t="n">
        <f aca="false">G15*Inputs!$D$52*MAX(0,MIN(1,(4*12-Inputs!$D$79)/12))</f>
        <v>186706.865895068</v>
      </c>
      <c r="H84" s="32" t="n">
        <f aca="false">H15*Inputs!$D$52*MAX(0,MIN(1,(5*12-Inputs!$D$79)/12))</f>
        <v>234059.398809883</v>
      </c>
      <c r="I84" s="32" t="n">
        <f aca="false">I15*Inputs!$D$52*MAX(0,MIN(1,(6*12-Inputs!$D$79)/12))</f>
        <v>283452.209486032</v>
      </c>
      <c r="J84" s="32" t="n">
        <f aca="false">J15*Inputs!$D$52*MAX(0,MIN(1,(7*12-Inputs!$D$79)/12))</f>
        <v>334426.093081513</v>
      </c>
    </row>
    <row r="85" customFormat="false" ht="15" hidden="false" customHeight="false" outlineLevel="0" collapsed="false">
      <c r="A85" s="0" t="s">
        <v>72</v>
      </c>
      <c r="B85" s="0" t="s">
        <v>390</v>
      </c>
      <c r="D85" s="40" t="n">
        <f aca="false">0</f>
        <v>0</v>
      </c>
      <c r="E85" s="40" t="n">
        <f aca="false">Inputs!$D$53</f>
        <v>250000</v>
      </c>
      <c r="F85" s="40" t="n">
        <f aca="false">Inputs!$D$53</f>
        <v>250000</v>
      </c>
      <c r="G85" s="40" t="n">
        <f aca="false">Inputs!$D$53</f>
        <v>250000</v>
      </c>
      <c r="H85" s="40" t="n">
        <f aca="false">Inputs!$D$53</f>
        <v>250000</v>
      </c>
      <c r="I85" s="40" t="n">
        <f aca="false">Inputs!$D$53</f>
        <v>250000</v>
      </c>
      <c r="J85" s="40" t="n">
        <f aca="false">Inputs!$D$53</f>
        <v>250000</v>
      </c>
    </row>
    <row r="86" customFormat="false" ht="15" hidden="false" customHeight="false" outlineLevel="0" collapsed="false">
      <c r="A86" s="0" t="s">
        <v>73</v>
      </c>
      <c r="B86" s="0" t="s">
        <v>390</v>
      </c>
      <c r="D86" s="40" t="n">
        <f aca="false">Inputs!$D$57*D15*Inputs!$D$58*Inputs!$D$59*MAX(0,MIN(1,(1*12-Inputs!$D$80)/12))</f>
        <v>111677.713952544</v>
      </c>
      <c r="E86" s="40" t="n">
        <f aca="false">Inputs!$D$57*E15*Inputs!$D$58*Inputs!$D$59*MAX(0,MIN(1,(2*12-Inputs!$D$80)/12))</f>
        <v>211051.441776511</v>
      </c>
      <c r="F86" s="40" t="n">
        <f aca="false">Inputs!$D$57*F15*Inputs!$D$58*Inputs!$D$59*MAX(0,MIN(1,(3*12-Inputs!$D$80)/12))</f>
        <v>286494.147509845</v>
      </c>
      <c r="G86" s="40" t="n">
        <f aca="false">Inputs!$D$57*G15*Inputs!$D$58*Inputs!$D$59*MAX(0,MIN(1,(4*12-Inputs!$D$80)/12))</f>
        <v>373413.731790135</v>
      </c>
      <c r="H86" s="40" t="n">
        <f aca="false">Inputs!$D$57*H15*Inputs!$D$58*Inputs!$D$59*MAX(0,MIN(1,(5*12-Inputs!$D$80)/12))</f>
        <v>468118.797619766</v>
      </c>
      <c r="I86" s="40" t="n">
        <f aca="false">Inputs!$D$57*I15*Inputs!$D$58*Inputs!$D$59*MAX(0,MIN(1,(6*12-Inputs!$D$80)/12))</f>
        <v>566904.418972063</v>
      </c>
      <c r="J86" s="40" t="n">
        <f aca="false">Inputs!$D$57*J15*Inputs!$D$58*Inputs!$D$59*MAX(0,MIN(1,(7*12-Inputs!$D$80)/12))</f>
        <v>668852.186163026</v>
      </c>
    </row>
    <row r="87" customFormat="false" ht="15" hidden="false" customHeight="false" outlineLevel="0" collapsed="false">
      <c r="A87" s="9" t="s">
        <v>74</v>
      </c>
      <c r="D87" s="34" t="n">
        <f aca="false">SUM(D80:D86)</f>
        <v>1872346.82498041</v>
      </c>
      <c r="E87" s="34" t="n">
        <f aca="false">SUM(E80:E86)</f>
        <v>2925912.15347736</v>
      </c>
      <c r="F87" s="34" t="n">
        <f aca="false">SUM(F80:F86)</f>
        <v>3860773.13347814</v>
      </c>
      <c r="G87" s="34" t="n">
        <f aca="false">SUM(G80:G86)</f>
        <v>4877062.2644287</v>
      </c>
      <c r="H87" s="34" t="n">
        <f aca="false">SUM(H80:H86)</f>
        <v>5984381.51641961</v>
      </c>
      <c r="I87" s="34" t="n">
        <f aca="false">SUM(I80:I86)</f>
        <v>7139411.81374356</v>
      </c>
      <c r="J87" s="34" t="n">
        <f aca="false">SUM(J80:J86)</f>
        <v>8331414.84250573</v>
      </c>
    </row>
    <row r="88" customFormat="false" ht="15" hidden="false" customHeight="false" outlineLevel="0" collapsed="false">
      <c r="A88" s="0" t="s">
        <v>402</v>
      </c>
      <c r="D88" s="32" t="n">
        <f aca="false">-D15*Inputs!$D$97</f>
        <v>-372259.04650848</v>
      </c>
      <c r="E88" s="32" t="n">
        <f aca="false">-E15*Inputs!$D$97</f>
        <v>-527628.604441278</v>
      </c>
      <c r="F88" s="32" t="n">
        <f aca="false">-F15*Inputs!$D$97</f>
        <v>-716235.368774613</v>
      </c>
      <c r="G88" s="32" t="n">
        <f aca="false">-G15*Inputs!$D$97</f>
        <v>-933534.329475338</v>
      </c>
      <c r="H88" s="32" t="n">
        <f aca="false">-H15*Inputs!$D$97</f>
        <v>-1170296.99404941</v>
      </c>
      <c r="I88" s="32" t="n">
        <f aca="false">-I15*Inputs!$D$97</f>
        <v>-1417261.04743016</v>
      </c>
      <c r="J88" s="32" t="n">
        <f aca="false">-J15*Inputs!$D$97</f>
        <v>-1672130.46540757</v>
      </c>
    </row>
    <row r="89" customFormat="false" ht="15" hidden="false" customHeight="false" outlineLevel="0" collapsed="false">
      <c r="A89" s="0" t="s">
        <v>403</v>
      </c>
      <c r="D89" s="32" t="n">
        <f aca="false">-Inputs!$D$98</f>
        <v>-750000</v>
      </c>
      <c r="E89" s="32" t="n">
        <f aca="false">-Inputs!$D$98</f>
        <v>-750000</v>
      </c>
      <c r="F89" s="32" t="n">
        <f aca="false">-Inputs!$D$98</f>
        <v>-750000</v>
      </c>
      <c r="G89" s="32" t="n">
        <f aca="false">-Inputs!$D$98</f>
        <v>-750000</v>
      </c>
      <c r="H89" s="32" t="n">
        <f aca="false">-Inputs!$D$98</f>
        <v>-750000</v>
      </c>
      <c r="I89" s="32" t="n">
        <f aca="false">-Inputs!$D$98</f>
        <v>-750000</v>
      </c>
      <c r="J89" s="32" t="n">
        <f aca="false">-Inputs!$D$98</f>
        <v>-750000</v>
      </c>
    </row>
    <row r="90" customFormat="false" ht="15" hidden="false" customHeight="false" outlineLevel="0" collapsed="false">
      <c r="A90" s="0" t="s">
        <v>289</v>
      </c>
      <c r="D90" s="32" t="n">
        <f aca="false">-Inputs!$D$99</f>
        <v>-40000</v>
      </c>
      <c r="E90" s="32" t="n">
        <f aca="false">-Inputs!$D$99</f>
        <v>-40000</v>
      </c>
      <c r="F90" s="32" t="n">
        <f aca="false">-Inputs!$D$99</f>
        <v>-40000</v>
      </c>
      <c r="G90" s="32" t="n">
        <f aca="false">-Inputs!$D$99</f>
        <v>-40000</v>
      </c>
      <c r="H90" s="32" t="n">
        <f aca="false">-Inputs!$D$99</f>
        <v>-40000</v>
      </c>
      <c r="I90" s="32" t="n">
        <f aca="false">-Inputs!$D$99</f>
        <v>-40000</v>
      </c>
      <c r="J90" s="32" t="n">
        <f aca="false">-Inputs!$D$99</f>
        <v>-40000</v>
      </c>
    </row>
    <row r="91" customFormat="false" ht="15" hidden="false" customHeight="false" outlineLevel="0" collapsed="false">
      <c r="A91" s="0" t="s">
        <v>290</v>
      </c>
      <c r="D91" s="32" t="n">
        <f aca="false">-D87*Inputs!$D$100</f>
        <v>-46808.6706245102</v>
      </c>
      <c r="E91" s="32" t="n">
        <f aca="false">-E87*Inputs!$D$100</f>
        <v>-73147.803836934</v>
      </c>
      <c r="F91" s="32" t="n">
        <f aca="false">-F87*Inputs!$D$100</f>
        <v>-96519.3283369534</v>
      </c>
      <c r="G91" s="32" t="n">
        <f aca="false">-G87*Inputs!$D$100</f>
        <v>-121926.556610718</v>
      </c>
      <c r="H91" s="32" t="n">
        <f aca="false">-H87*Inputs!$D$100</f>
        <v>-149609.53791049</v>
      </c>
      <c r="I91" s="32" t="n">
        <f aca="false">-I87*Inputs!$D$100</f>
        <v>-178485.295343589</v>
      </c>
      <c r="J91" s="32" t="n">
        <f aca="false">-J87*Inputs!$D$100</f>
        <v>-208285.371062643</v>
      </c>
    </row>
    <row r="92" customFormat="false" ht="15" hidden="false" customHeight="false" outlineLevel="0" collapsed="false">
      <c r="A92" s="9" t="s">
        <v>404</v>
      </c>
      <c r="D92" s="39" t="n">
        <f aca="false">D87+SUM(D88:D91)</f>
        <v>663279.107847418</v>
      </c>
      <c r="E92" s="39" t="n">
        <f aca="false">E87+SUM(E88:E91)</f>
        <v>1535135.74519915</v>
      </c>
      <c r="F92" s="39" t="n">
        <f aca="false">F87+SUM(F88:F91)</f>
        <v>2258018.43636657</v>
      </c>
      <c r="G92" s="39" t="n">
        <f aca="false">G87+SUM(G88:G91)</f>
        <v>3031601.37834265</v>
      </c>
      <c r="H92" s="39" t="n">
        <f aca="false">H87+SUM(H88:H91)</f>
        <v>3874474.9844597</v>
      </c>
      <c r="I92" s="39" t="n">
        <f aca="false">I87+SUM(I88:I91)</f>
        <v>4753665.47096981</v>
      </c>
      <c r="J92" s="39" t="n">
        <f aca="false">J87+SUM(J88:J91)</f>
        <v>5660999.00603553</v>
      </c>
    </row>
    <row r="93" customFormat="false" ht="15" hidden="false" customHeight="false" outlineLevel="0" collapsed="false">
      <c r="A93" s="6" t="s">
        <v>405</v>
      </c>
      <c r="B93" s="7"/>
      <c r="C93" s="7"/>
      <c r="D93" s="7"/>
      <c r="E93" s="7"/>
      <c r="F93" s="7"/>
      <c r="G93" s="7"/>
      <c r="H93" s="7"/>
      <c r="I93" s="7"/>
      <c r="J93" s="7"/>
    </row>
    <row r="94" customFormat="false" ht="15" hidden="false" customHeight="false" outlineLevel="0" collapsed="false">
      <c r="A94" s="0" t="s">
        <v>76</v>
      </c>
      <c r="B94" s="0" t="s">
        <v>388</v>
      </c>
      <c r="D94" s="32" t="n">
        <f aca="false">Inputs!$D$68*Inputs!$D$69</f>
        <v>148500</v>
      </c>
      <c r="E94" s="32" t="n">
        <f aca="false">Inputs!$D$68*Inputs!$D$69</f>
        <v>148500</v>
      </c>
      <c r="F94" s="32" t="n">
        <f aca="false">Inputs!$D$68*Inputs!$D$69</f>
        <v>148500</v>
      </c>
      <c r="G94" s="32" t="n">
        <f aca="false">Inputs!$D$68*Inputs!$D$69</f>
        <v>148500</v>
      </c>
      <c r="H94" s="32" t="n">
        <f aca="false">Inputs!$D$68*Inputs!$D$69</f>
        <v>148500</v>
      </c>
      <c r="I94" s="32" t="n">
        <f aca="false">Inputs!$D$68*Inputs!$D$69</f>
        <v>148500</v>
      </c>
      <c r="J94" s="32" t="n">
        <f aca="false">Inputs!$D$68*Inputs!$D$69</f>
        <v>148500</v>
      </c>
    </row>
    <row r="95" customFormat="false" ht="15" hidden="false" customHeight="false" outlineLevel="0" collapsed="false">
      <c r="A95" s="0" t="s">
        <v>77</v>
      </c>
      <c r="B95" s="0" t="s">
        <v>388</v>
      </c>
      <c r="D95" s="40" t="n">
        <f aca="false">Inputs!$D$70</f>
        <v>224000</v>
      </c>
      <c r="E95" s="40" t="n">
        <f aca="false">Inputs!$D$70</f>
        <v>224000</v>
      </c>
      <c r="F95" s="40" t="n">
        <f aca="false">Inputs!$D$70</f>
        <v>224000</v>
      </c>
      <c r="G95" s="40" t="n">
        <f aca="false">Inputs!$D$70</f>
        <v>224000</v>
      </c>
      <c r="H95" s="40" t="n">
        <f aca="false">Inputs!$D$70</f>
        <v>224000</v>
      </c>
      <c r="I95" s="40" t="n">
        <f aca="false">Inputs!$D$70</f>
        <v>224000</v>
      </c>
      <c r="J95" s="40" t="n">
        <f aca="false">Inputs!$D$70</f>
        <v>224000</v>
      </c>
    </row>
    <row r="96" customFormat="false" ht="15" hidden="false" customHeight="false" outlineLevel="0" collapsed="false">
      <c r="A96" s="0" t="s">
        <v>78</v>
      </c>
      <c r="B96" s="0" t="s">
        <v>388</v>
      </c>
      <c r="D96" s="32" t="n">
        <f aca="false">Inputs!$D$71</f>
        <v>90000</v>
      </c>
      <c r="E96" s="32" t="n">
        <f aca="false">Inputs!$D$71</f>
        <v>90000</v>
      </c>
      <c r="F96" s="32" t="n">
        <f aca="false">Inputs!$D$71</f>
        <v>90000</v>
      </c>
      <c r="G96" s="32" t="n">
        <f aca="false">Inputs!$D$71</f>
        <v>90000</v>
      </c>
      <c r="H96" s="32" t="n">
        <f aca="false">Inputs!$D$71</f>
        <v>90000</v>
      </c>
      <c r="I96" s="32" t="n">
        <f aca="false">Inputs!$D$71</f>
        <v>90000</v>
      </c>
      <c r="J96" s="32" t="n">
        <f aca="false">Inputs!$D$71</f>
        <v>90000</v>
      </c>
    </row>
    <row r="97" customFormat="false" ht="15" hidden="false" customHeight="false" outlineLevel="0" collapsed="false">
      <c r="A97" s="0" t="s">
        <v>79</v>
      </c>
      <c r="B97" s="0" t="s">
        <v>388</v>
      </c>
      <c r="D97" s="40" t="n">
        <f aca="false">Inputs!$D$72</f>
        <v>15000</v>
      </c>
      <c r="E97" s="40" t="n">
        <f aca="false">Inputs!$D$72</f>
        <v>15000</v>
      </c>
      <c r="F97" s="40" t="n">
        <f aca="false">Inputs!$D$72</f>
        <v>15000</v>
      </c>
      <c r="G97" s="40" t="n">
        <f aca="false">Inputs!$D$72</f>
        <v>15000</v>
      </c>
      <c r="H97" s="40" t="n">
        <f aca="false">Inputs!$D$72</f>
        <v>15000</v>
      </c>
      <c r="I97" s="40" t="n">
        <f aca="false">Inputs!$D$72</f>
        <v>15000</v>
      </c>
      <c r="J97" s="40" t="n">
        <f aca="false">Inputs!$D$72</f>
        <v>15000</v>
      </c>
    </row>
    <row r="98" customFormat="false" ht="15" hidden="false" customHeight="false" outlineLevel="0" collapsed="false">
      <c r="A98" s="0" t="s">
        <v>80</v>
      </c>
      <c r="B98" s="0" t="s">
        <v>388</v>
      </c>
      <c r="D98" s="40" t="n">
        <f aca="false">Inputs!$D$57*Inputs!$D$63*MAX(0,MIN(1,(1*12-Inputs!$D$80)/12))</f>
        <v>67500</v>
      </c>
      <c r="E98" s="40" t="n">
        <f aca="false">Inputs!$D$57*Inputs!$D$63*MAX(0,MIN(1,(2*12-Inputs!$D$80)/12))</f>
        <v>90000</v>
      </c>
      <c r="F98" s="40" t="n">
        <f aca="false">Inputs!$D$57*Inputs!$D$63*MAX(0,MIN(1,(3*12-Inputs!$D$80)/12))</f>
        <v>90000</v>
      </c>
      <c r="G98" s="40" t="n">
        <f aca="false">Inputs!$D$57*Inputs!$D$63*MAX(0,MIN(1,(4*12-Inputs!$D$80)/12))</f>
        <v>90000</v>
      </c>
      <c r="H98" s="40" t="n">
        <f aca="false">Inputs!$D$57*Inputs!$D$63*MAX(0,MIN(1,(5*12-Inputs!$D$80)/12))</f>
        <v>90000</v>
      </c>
      <c r="I98" s="40" t="n">
        <f aca="false">Inputs!$D$57*Inputs!$D$63*MAX(0,MIN(1,(6*12-Inputs!$D$80)/12))</f>
        <v>90000</v>
      </c>
      <c r="J98" s="40" t="n">
        <f aca="false">Inputs!$D$57*Inputs!$D$63*MAX(0,MIN(1,(7*12-Inputs!$D$80)/12))</f>
        <v>90000</v>
      </c>
    </row>
    <row r="99" customFormat="false" ht="15" hidden="false" customHeight="false" outlineLevel="0" collapsed="false">
      <c r="A99" s="9" t="s">
        <v>81</v>
      </c>
      <c r="D99" s="34" t="n">
        <f aca="false">SUM(D94:D98)</f>
        <v>545000</v>
      </c>
      <c r="E99" s="34" t="n">
        <f aca="false">SUM(E94:E98)</f>
        <v>567500</v>
      </c>
      <c r="F99" s="34" t="n">
        <f aca="false">SUM(F94:F98)</f>
        <v>567500</v>
      </c>
      <c r="G99" s="34" t="n">
        <f aca="false">SUM(G94:G98)</f>
        <v>567500</v>
      </c>
      <c r="H99" s="34" t="n">
        <f aca="false">SUM(H94:H98)</f>
        <v>567500</v>
      </c>
      <c r="I99" s="34" t="n">
        <f aca="false">SUM(I94:I98)</f>
        <v>567500</v>
      </c>
      <c r="J99" s="34" t="n">
        <f aca="false">SUM(J94:J98)</f>
        <v>567500</v>
      </c>
    </row>
    <row r="100" customFormat="false" ht="15" hidden="false" customHeight="false" outlineLevel="0" collapsed="false">
      <c r="A100" s="0" t="s">
        <v>406</v>
      </c>
      <c r="D100" s="32" t="n">
        <f aca="false">-D77</f>
        <v>423304.851210807</v>
      </c>
      <c r="E100" s="32" t="n">
        <f aca="false">-E77</f>
        <v>996878.518723963</v>
      </c>
      <c r="F100" s="32" t="n">
        <f aca="false">-F77</f>
        <v>1189319.18922459</v>
      </c>
      <c r="G100" s="32" t="n">
        <f aca="false">-G77</f>
        <v>1308181.34448891</v>
      </c>
      <c r="H100" s="32" t="n">
        <f aca="false">-H77</f>
        <v>1412683.63055535</v>
      </c>
      <c r="I100" s="32" t="n">
        <f aca="false">-I77</f>
        <v>1498864.69544707</v>
      </c>
      <c r="J100" s="32" t="n">
        <f aca="false">-J77</f>
        <v>1583399.67407168</v>
      </c>
    </row>
    <row r="101" customFormat="false" ht="15" hidden="false" customHeight="false" outlineLevel="0" collapsed="false">
      <c r="A101" s="0" t="s">
        <v>407</v>
      </c>
      <c r="D101" s="32" t="n">
        <f aca="false">-Inputs!$D$108*Inputs!$D$101</f>
        <v>-36000</v>
      </c>
      <c r="E101" s="32" t="n">
        <f aca="false">-Inputs!$D$108*Inputs!$D$101</f>
        <v>-36000</v>
      </c>
      <c r="F101" s="32" t="n">
        <f aca="false">-Inputs!$D$108*Inputs!$D$101</f>
        <v>-36000</v>
      </c>
      <c r="G101" s="32" t="n">
        <f aca="false">-Inputs!$D$108*Inputs!$D$101</f>
        <v>-36000</v>
      </c>
      <c r="H101" s="32" t="n">
        <f aca="false">-Inputs!$D$108*Inputs!$D$101</f>
        <v>-36000</v>
      </c>
      <c r="I101" s="32" t="n">
        <f aca="false">-Inputs!$D$108*Inputs!$D$101</f>
        <v>-36000</v>
      </c>
      <c r="J101" s="32" t="n">
        <f aca="false">-Inputs!$D$108*Inputs!$D$101</f>
        <v>-36000</v>
      </c>
    </row>
    <row r="102" customFormat="false" ht="15" hidden="false" customHeight="false" outlineLevel="0" collapsed="false">
      <c r="A102" s="0" t="s">
        <v>408</v>
      </c>
      <c r="D102" s="32" t="n">
        <f aca="false">-Inputs!$D$102</f>
        <v>-160000</v>
      </c>
      <c r="E102" s="32" t="n">
        <f aca="false">-Inputs!$D$102</f>
        <v>-160000</v>
      </c>
      <c r="F102" s="32" t="n">
        <f aca="false">-Inputs!$D$102</f>
        <v>-160000</v>
      </c>
      <c r="G102" s="32" t="n">
        <f aca="false">-Inputs!$D$102</f>
        <v>-160000</v>
      </c>
      <c r="H102" s="32" t="n">
        <f aca="false">-Inputs!$D$102</f>
        <v>-160000</v>
      </c>
      <c r="I102" s="32" t="n">
        <f aca="false">-Inputs!$D$102</f>
        <v>-160000</v>
      </c>
      <c r="J102" s="32" t="n">
        <f aca="false">-Inputs!$D$102</f>
        <v>-160000</v>
      </c>
    </row>
    <row r="103" customFormat="false" ht="15" hidden="false" customHeight="false" outlineLevel="0" collapsed="false">
      <c r="A103" s="0" t="s">
        <v>295</v>
      </c>
      <c r="D103" s="32" t="n">
        <f aca="false">-D99*Inputs!$D$103</f>
        <v>-16350</v>
      </c>
      <c r="E103" s="32" t="n">
        <f aca="false">-E99*Inputs!$D$103</f>
        <v>-17025</v>
      </c>
      <c r="F103" s="32" t="n">
        <f aca="false">-F99*Inputs!$D$103</f>
        <v>-17025</v>
      </c>
      <c r="G103" s="32" t="n">
        <f aca="false">-G99*Inputs!$D$103</f>
        <v>-17025</v>
      </c>
      <c r="H103" s="32" t="n">
        <f aca="false">-H99*Inputs!$D$103</f>
        <v>-17025</v>
      </c>
      <c r="I103" s="32" t="n">
        <f aca="false">-I99*Inputs!$D$103</f>
        <v>-17025</v>
      </c>
      <c r="J103" s="32" t="n">
        <f aca="false">-J99*Inputs!$D$103</f>
        <v>-17025</v>
      </c>
    </row>
    <row r="104" customFormat="false" ht="15" hidden="false" customHeight="false" outlineLevel="0" collapsed="false">
      <c r="A104" s="9" t="s">
        <v>91</v>
      </c>
      <c r="D104" s="39" t="n">
        <f aca="false">D99+D100+D101+D102+D103</f>
        <v>755954.851210807</v>
      </c>
      <c r="E104" s="39" t="n">
        <f aca="false">E99+E100+E101+E102+E103</f>
        <v>1351353.51872396</v>
      </c>
      <c r="F104" s="39" t="n">
        <f aca="false">F99+F100+F101+F102+F103</f>
        <v>1543794.18922459</v>
      </c>
      <c r="G104" s="39" t="n">
        <f aca="false">G99+G100+G101+G102+G103</f>
        <v>1662656.34448891</v>
      </c>
      <c r="H104" s="39" t="n">
        <f aca="false">H99+H100+H101+H102+H103</f>
        <v>1767158.63055535</v>
      </c>
      <c r="I104" s="39" t="n">
        <f aca="false">I99+I100+I101+I102+I103</f>
        <v>1853339.69544707</v>
      </c>
      <c r="J104" s="39" t="n">
        <f aca="false">J99+J100+J101+J102+J103</f>
        <v>1937874.67407168</v>
      </c>
    </row>
    <row r="105" customFormat="false" ht="15" hidden="false" customHeight="false" outlineLevel="0" collapsed="false">
      <c r="A105" s="6" t="s">
        <v>409</v>
      </c>
      <c r="B105" s="7"/>
      <c r="C105" s="7"/>
      <c r="D105" s="7"/>
      <c r="E105" s="7"/>
      <c r="F105" s="7"/>
      <c r="G105" s="7"/>
      <c r="H105" s="7"/>
      <c r="I105" s="7"/>
      <c r="J105" s="7"/>
    </row>
    <row r="106" customFormat="false" ht="15" hidden="false" customHeight="false" outlineLevel="0" collapsed="false">
      <c r="A106" s="9" t="s">
        <v>83</v>
      </c>
      <c r="D106" s="34" t="n">
        <f aca="false">D62+D87+D99</f>
        <v>10293877.9169808</v>
      </c>
      <c r="E106" s="34" t="n">
        <f aca="false">E62+E87+E99</f>
        <v>14319810.4909116</v>
      </c>
      <c r="F106" s="34" t="n">
        <f aca="false">F62+F87+F99</f>
        <v>16381151.3389909</v>
      </c>
      <c r="G106" s="34" t="n">
        <f aca="false">G62+G87+G99</f>
        <v>18184340.4525054</v>
      </c>
      <c r="H106" s="34" t="n">
        <f aca="false">H62+H87+H99</f>
        <v>19976878.7208391</v>
      </c>
      <c r="I106" s="34" t="n">
        <f aca="false">I62+I87+I99</f>
        <v>21694540.6315555</v>
      </c>
      <c r="J106" s="34" t="n">
        <f aca="false">J62+J87+J99</f>
        <v>23434940.5898833</v>
      </c>
    </row>
    <row r="107" customFormat="false" ht="15" hidden="false" customHeight="false" outlineLevel="0" collapsed="false">
      <c r="A107" s="0" t="s">
        <v>410</v>
      </c>
      <c r="B107" s="0" t="s">
        <v>388</v>
      </c>
      <c r="D107" s="32" t="n">
        <f aca="false">D51+D99</f>
        <v>7221393.51644502</v>
      </c>
      <c r="E107" s="32" t="n">
        <f aca="false">E51+E99</f>
        <v>9293131.25102514</v>
      </c>
      <c r="F107" s="32" t="n">
        <f aca="false">F51+F99</f>
        <v>9880348.44655465</v>
      </c>
      <c r="G107" s="32" t="n">
        <f aca="false">G51+G99</f>
        <v>10128172.1923623</v>
      </c>
      <c r="H107" s="32" t="n">
        <f aca="false">H51+H99</f>
        <v>10326827.4482307</v>
      </c>
      <c r="I107" s="32" t="n">
        <f aca="false">I51+I99</f>
        <v>10468210.3179184</v>
      </c>
      <c r="J107" s="32" t="n">
        <f aca="false">J51+J99</f>
        <v>10604268.4882476</v>
      </c>
    </row>
    <row r="108" customFormat="false" ht="15" hidden="false" customHeight="false" outlineLevel="0" collapsed="false">
      <c r="A108" s="0" t="s">
        <v>411</v>
      </c>
      <c r="B108" s="0" t="s">
        <v>390</v>
      </c>
      <c r="D108" s="32" t="n">
        <f aca="false">D61+D87</f>
        <v>3072484.40053575</v>
      </c>
      <c r="E108" s="32" t="n">
        <f aca="false">E61+E87</f>
        <v>5026679.23988646</v>
      </c>
      <c r="F108" s="32" t="n">
        <f aca="false">F61+F87</f>
        <v>6500802.8924363</v>
      </c>
      <c r="G108" s="32" t="n">
        <f aca="false">G61+G87</f>
        <v>8056168.26014301</v>
      </c>
      <c r="H108" s="32" t="n">
        <f aca="false">H61+H87</f>
        <v>9650051.27260839</v>
      </c>
      <c r="I108" s="32" t="n">
        <f aca="false">I61+I87</f>
        <v>11226330.3136371</v>
      </c>
      <c r="J108" s="32" t="n">
        <f aca="false">J61+J87</f>
        <v>12830672.1016357</v>
      </c>
    </row>
    <row r="109" customFormat="false" ht="15" hidden="false" customHeight="false" outlineLevel="0" collapsed="false">
      <c r="A109" s="0" t="s">
        <v>412</v>
      </c>
      <c r="D109" s="36" t="n">
        <f aca="false">IF(D106&gt;0,D108/D106,0)</f>
        <v>0.298476864143432</v>
      </c>
      <c r="E109" s="36" t="n">
        <f aca="false">IF(E106&gt;0,E108/E106,0)</f>
        <v>0.351029732067806</v>
      </c>
      <c r="F109" s="36" t="n">
        <f aca="false">IF(F106&gt;0,F108/F106,0)</f>
        <v>0.396846519387369</v>
      </c>
      <c r="G109" s="36" t="n">
        <f aca="false">IF(G106&gt;0,G108/G106,0)</f>
        <v>0.443027795326669</v>
      </c>
      <c r="H109" s="36" t="n">
        <f aca="false">IF(H106&gt;0,H108/H106,0)</f>
        <v>0.483061013057153</v>
      </c>
      <c r="I109" s="36" t="n">
        <f aca="false">IF(I106&gt;0,I108/I106,0)</f>
        <v>0.517472598489041</v>
      </c>
      <c r="J109" s="36" t="n">
        <f aca="false">IF(J106&gt;0,J108/J106,0)</f>
        <v>0.547501797686427</v>
      </c>
    </row>
    <row r="110" customFormat="false" ht="15" hidden="false" customHeight="false" outlineLevel="0" collapsed="false">
      <c r="A110" s="9" t="s">
        <v>92</v>
      </c>
      <c r="D110" s="39" t="n">
        <f aca="false">D78+D92+D104</f>
        <v>2689148.51269064</v>
      </c>
      <c r="E110" s="39" t="n">
        <f aca="false">E78+E92+E104</f>
        <v>5877124.820095</v>
      </c>
      <c r="F110" s="39" t="n">
        <f aca="false">F78+F92+F104</f>
        <v>7369770.19326493</v>
      </c>
      <c r="G110" s="39" t="n">
        <f aca="false">G78+G92+G104</f>
        <v>8618801.75629828</v>
      </c>
      <c r="H110" s="39" t="n">
        <f aca="false">H78+H92+H104</f>
        <v>9879684.50668111</v>
      </c>
      <c r="I110" s="39" t="n">
        <f aca="false">I78+I92+I104</f>
        <v>11103599.2527581</v>
      </c>
      <c r="J110" s="39" t="n">
        <f aca="false">J78+J92+J104</f>
        <v>12349072.7023222</v>
      </c>
    </row>
    <row r="111" customFormat="false" ht="15" hidden="false" customHeight="false" outlineLevel="0" collapsed="false">
      <c r="A111" s="0" t="s">
        <v>93</v>
      </c>
      <c r="D111" s="36" t="n">
        <f aca="false">IF(D106&gt;0,D110/D106,0)</f>
        <v>0.261237653523618</v>
      </c>
      <c r="E111" s="36" t="n">
        <f aca="false">IF(E106&gt;0,E110/E106,0)</f>
        <v>0.410419175856067</v>
      </c>
      <c r="F111" s="36" t="n">
        <f aca="false">IF(F106&gt;0,F110/F106,0)</f>
        <v>0.449893297531729</v>
      </c>
      <c r="G111" s="36" t="n">
        <f aca="false">IF(G106&gt;0,G110/G106,0)</f>
        <v>0.473968345390873</v>
      </c>
      <c r="H111" s="36" t="n">
        <f aca="false">IF(H106&gt;0,H110/H106,0)</f>
        <v>0.494555963658879</v>
      </c>
      <c r="I111" s="36" t="n">
        <f aca="false">IF(I106&gt;0,I110/I106,0)</f>
        <v>0.511815365963891</v>
      </c>
      <c r="J111" s="36" t="n">
        <f aca="false">IF(J106&gt;0,J110/J106,0)</f>
        <v>0.526951312505278</v>
      </c>
    </row>
    <row r="112" customFormat="false" ht="15" hidden="false" customHeight="false" outlineLevel="0" collapsed="false">
      <c r="A112" s="0" t="s">
        <v>413</v>
      </c>
      <c r="D112" s="32" t="n">
        <f aca="false">IF(D15&gt;0,D106/D15,0)</f>
        <v>1659.14752324166</v>
      </c>
      <c r="E112" s="32" t="n">
        <f aca="false">IF(E15&gt;0,E106/E15,0)</f>
        <v>1628.39660742904</v>
      </c>
      <c r="F112" s="32" t="n">
        <f aca="false">IF(F15&gt;0,F106/F15,0)</f>
        <v>1372.27107622599</v>
      </c>
      <c r="G112" s="32" t="n">
        <f aca="false">IF(G15&gt;0,G106/G15,0)</f>
        <v>1168.74162277837</v>
      </c>
      <c r="H112" s="32" t="n">
        <f aca="false">IF(H15&gt;0,H106/H15,0)</f>
        <v>1024.19533617954</v>
      </c>
      <c r="I112" s="32" t="n">
        <f aca="false">IF(I15&gt;0,I106/I15,0)</f>
        <v>918.442258928645</v>
      </c>
      <c r="J112" s="32" t="n">
        <f aca="false">IF(J15&gt;0,J106/J15,0)</f>
        <v>840.901152441043</v>
      </c>
    </row>
    <row r="113" customFormat="false" ht="15" hidden="false" customHeight="false" outlineLevel="0" collapsed="false">
      <c r="A113" s="0" t="s">
        <v>414</v>
      </c>
      <c r="D113" s="41" t="n">
        <f aca="false">D106/Inputs!$D$6</f>
        <v>102.938779169808</v>
      </c>
      <c r="E113" s="41" t="n">
        <f aca="false">E106/Inputs!$D$6</f>
        <v>143.198104909116</v>
      </c>
      <c r="F113" s="41" t="n">
        <f aca="false">F106/Inputs!$D$6</f>
        <v>163.811513389909</v>
      </c>
      <c r="G113" s="41" t="n">
        <f aca="false">G106/Inputs!$D$6</f>
        <v>181.843404525054</v>
      </c>
      <c r="H113" s="41" t="n">
        <f aca="false">H106/Inputs!$D$6</f>
        <v>199.768787208391</v>
      </c>
      <c r="I113" s="41" t="n">
        <f aca="false">I106/Inputs!$D$6</f>
        <v>216.945406315555</v>
      </c>
      <c r="J113" s="41" t="n">
        <f aca="false">J106/Inputs!$D$6</f>
        <v>234.349405898833</v>
      </c>
    </row>
    <row r="114" customFormat="false" ht="15" hidden="false" customHeight="false" outlineLevel="0" collapsed="false">
      <c r="A114" s="6" t="s">
        <v>415</v>
      </c>
      <c r="B114" s="7"/>
      <c r="C114" s="7"/>
      <c r="D114" s="7"/>
      <c r="E114" s="7"/>
      <c r="F114" s="7"/>
      <c r="G114" s="7"/>
      <c r="H114" s="7"/>
      <c r="I114" s="7"/>
      <c r="J114" s="7"/>
    </row>
    <row r="115" customFormat="false" ht="15" hidden="false" customHeight="false" outlineLevel="0" collapsed="false">
      <c r="A115" s="0" t="s">
        <v>96</v>
      </c>
      <c r="C115" s="32" t="n">
        <f aca="false">-Inputs!$D$106</f>
        <v>-6400000</v>
      </c>
      <c r="D115" s="32" t="n">
        <f aca="false">0</f>
        <v>0</v>
      </c>
      <c r="E115" s="32" t="n">
        <f aca="false">0</f>
        <v>0</v>
      </c>
      <c r="F115" s="32" t="n">
        <f aca="false">0</f>
        <v>0</v>
      </c>
      <c r="G115" s="32" t="n">
        <f aca="false">0</f>
        <v>0</v>
      </c>
      <c r="H115" s="32" t="n">
        <f aca="false">0</f>
        <v>0</v>
      </c>
      <c r="I115" s="32" t="n">
        <f aca="false">0</f>
        <v>0</v>
      </c>
      <c r="J115" s="32" t="n">
        <f aca="false">0</f>
        <v>0</v>
      </c>
    </row>
    <row r="116" customFormat="false" ht="15" hidden="false" customHeight="false" outlineLevel="0" collapsed="false">
      <c r="A116" s="0" t="s">
        <v>416</v>
      </c>
      <c r="C116" s="32" t="n">
        <f aca="false">Inputs!$D$107</f>
        <v>838000</v>
      </c>
      <c r="D116" s="32" t="n">
        <f aca="false">0</f>
        <v>0</v>
      </c>
      <c r="E116" s="32" t="n">
        <f aca="false">0</f>
        <v>0</v>
      </c>
      <c r="F116" s="32" t="n">
        <f aca="false">0</f>
        <v>0</v>
      </c>
      <c r="G116" s="32" t="n">
        <f aca="false">0</f>
        <v>0</v>
      </c>
      <c r="H116" s="32" t="n">
        <f aca="false">0</f>
        <v>0</v>
      </c>
      <c r="I116" s="32" t="n">
        <f aca="false">0</f>
        <v>0</v>
      </c>
      <c r="J116" s="32" t="n">
        <f aca="false">0</f>
        <v>0</v>
      </c>
    </row>
    <row r="117" customFormat="false" ht="15" hidden="false" customHeight="false" outlineLevel="0" collapsed="false">
      <c r="A117" s="0" t="s">
        <v>98</v>
      </c>
      <c r="C117" s="32" t="n">
        <f aca="false">-Inputs!$D$57*Inputs!$D$64</f>
        <v>-250000</v>
      </c>
      <c r="D117" s="40" t="n">
        <f aca="false">0</f>
        <v>0</v>
      </c>
      <c r="E117" s="40" t="n">
        <f aca="false">0</f>
        <v>0</v>
      </c>
      <c r="F117" s="40" t="n">
        <f aca="false">0</f>
        <v>0</v>
      </c>
      <c r="G117" s="40" t="n">
        <f aca="false">0</f>
        <v>0</v>
      </c>
      <c r="H117" s="40" t="n">
        <f aca="false">0</f>
        <v>0</v>
      </c>
      <c r="I117" s="40" t="n">
        <f aca="false">0</f>
        <v>0</v>
      </c>
      <c r="J117" s="40" t="n">
        <f aca="false">0</f>
        <v>0</v>
      </c>
    </row>
    <row r="118" customFormat="false" ht="15" hidden="false" customHeight="false" outlineLevel="0" collapsed="false">
      <c r="A118" s="0" t="s">
        <v>417</v>
      </c>
      <c r="C118" s="32" t="n">
        <f aca="false">-Inputs!$D$108</f>
        <v>-3000000</v>
      </c>
      <c r="D118" s="32" t="n">
        <f aca="false">0</f>
        <v>0</v>
      </c>
      <c r="E118" s="32" t="n">
        <f aca="false">0</f>
        <v>0</v>
      </c>
      <c r="F118" s="32" t="n">
        <f aca="false">0</f>
        <v>0</v>
      </c>
      <c r="G118" s="32" t="n">
        <f aca="false">0</f>
        <v>0</v>
      </c>
      <c r="H118" s="32" t="n">
        <f aca="false">0</f>
        <v>0</v>
      </c>
      <c r="I118" s="32" t="n">
        <f aca="false">0</f>
        <v>0</v>
      </c>
      <c r="J118" s="32" t="n">
        <f aca="false">0</f>
        <v>0</v>
      </c>
    </row>
    <row r="119" customFormat="false" ht="15" hidden="false" customHeight="false" outlineLevel="0" collapsed="false">
      <c r="A119" s="0" t="s">
        <v>418</v>
      </c>
      <c r="C119" s="32" t="n">
        <f aca="false">0</f>
        <v>0</v>
      </c>
      <c r="D119" s="32" t="n">
        <f aca="false">0</f>
        <v>0</v>
      </c>
      <c r="E119" s="32" t="n">
        <f aca="false">-E62*Inputs!$D$109</f>
        <v>-216527.966748685</v>
      </c>
      <c r="F119" s="32" t="n">
        <f aca="false">-F62*Inputs!$D$109</f>
        <v>-239057.564110256</v>
      </c>
      <c r="G119" s="32" t="n">
        <f aca="false">-G62*Inputs!$D$109</f>
        <v>-254795.563761533</v>
      </c>
      <c r="H119" s="32" t="n">
        <f aca="false">-H62*Inputs!$D$109</f>
        <v>-268499.944088389</v>
      </c>
      <c r="I119" s="32" t="n">
        <f aca="false">-I62*Inputs!$D$109</f>
        <v>-279752.576356239</v>
      </c>
      <c r="J119" s="32" t="n">
        <f aca="false">-J62*Inputs!$D$109</f>
        <v>-290720.514947552</v>
      </c>
    </row>
    <row r="120" customFormat="false" ht="15" hidden="false" customHeight="false" outlineLevel="0" collapsed="false">
      <c r="A120" s="9" t="s">
        <v>419</v>
      </c>
      <c r="C120" s="32" t="n">
        <f aca="false">SUM(C115:C119)</f>
        <v>-8812000</v>
      </c>
      <c r="D120" s="34" t="n">
        <f aca="false">SUM(D115:D119)</f>
        <v>0</v>
      </c>
      <c r="E120" s="34" t="n">
        <f aca="false">SUM(E115:E119)</f>
        <v>-216527.966748685</v>
      </c>
      <c r="F120" s="34" t="n">
        <f aca="false">SUM(F115:F119)</f>
        <v>-239057.564110256</v>
      </c>
      <c r="G120" s="34" t="n">
        <f aca="false">SUM(G115:G119)</f>
        <v>-254795.563761533</v>
      </c>
      <c r="H120" s="34" t="n">
        <f aca="false">SUM(H115:H119)</f>
        <v>-268499.944088389</v>
      </c>
      <c r="I120" s="34" t="n">
        <f aca="false">SUM(I115:I119)</f>
        <v>-279752.576356239</v>
      </c>
      <c r="J120" s="34" t="n">
        <f aca="false">SUM(J115:J119)</f>
        <v>-290720.514947552</v>
      </c>
    </row>
    <row r="121" customFormat="false" ht="15" hidden="false" customHeight="false" outlineLevel="0" collapsed="false">
      <c r="A121" s="9" t="s">
        <v>420</v>
      </c>
      <c r="C121" s="32" t="n">
        <f aca="false">C120</f>
        <v>-8812000</v>
      </c>
      <c r="D121" s="34" t="n">
        <f aca="false">D110+D120</f>
        <v>2689148.51269064</v>
      </c>
      <c r="E121" s="34" t="n">
        <f aca="false">E110+E120</f>
        <v>5660596.85334631</v>
      </c>
      <c r="F121" s="34" t="n">
        <f aca="false">F110+F120</f>
        <v>7130712.62915468</v>
      </c>
      <c r="G121" s="34" t="n">
        <f aca="false">G110+G120</f>
        <v>8364006.19253674</v>
      </c>
      <c r="H121" s="34" t="n">
        <f aca="false">H110+H120</f>
        <v>9611184.56259272</v>
      </c>
      <c r="I121" s="34" t="n">
        <f aca="false">I110+I120</f>
        <v>10823846.6764019</v>
      </c>
      <c r="J121" s="34" t="n">
        <f aca="false">J110+J120</f>
        <v>12058352.1873747</v>
      </c>
    </row>
    <row r="122" customFormat="false" ht="15" hidden="false" customHeight="false" outlineLevel="0" collapsed="false">
      <c r="A122" s="0" t="s">
        <v>421</v>
      </c>
      <c r="C122" s="32" t="n">
        <f aca="false">C121</f>
        <v>-8812000</v>
      </c>
      <c r="D122" s="32" t="n">
        <f aca="false">C122+D121</f>
        <v>-6122851.48730936</v>
      </c>
      <c r="E122" s="32" t="n">
        <f aca="false">D122+E121</f>
        <v>-462254.633963042</v>
      </c>
      <c r="F122" s="32" t="n">
        <f aca="false">E122+F121</f>
        <v>6668457.99519163</v>
      </c>
      <c r="G122" s="32" t="n">
        <f aca="false">F122+G121</f>
        <v>15032464.1877284</v>
      </c>
      <c r="H122" s="32" t="n">
        <f aca="false">G122+H121</f>
        <v>24643648.7503211</v>
      </c>
      <c r="I122" s="32" t="n">
        <f aca="false">H122+I121</f>
        <v>35467495.426723</v>
      </c>
      <c r="J122" s="32" t="n">
        <f aca="false">I122+J121</f>
        <v>47525847.6140976</v>
      </c>
    </row>
    <row r="123" customFormat="false" ht="15" hidden="false" customHeight="false" outlineLevel="0" collapsed="false">
      <c r="A123" s="0" t="s">
        <v>422</v>
      </c>
      <c r="D123" s="33" t="n">
        <f aca="false">IF(D122&gt;=0,1,0)</f>
        <v>0</v>
      </c>
      <c r="E123" s="33" t="n">
        <f aca="false">IF(E122&gt;=0,1,0)</f>
        <v>0</v>
      </c>
      <c r="F123" s="33" t="n">
        <f aca="false">IF(F122&gt;=0,1,0)</f>
        <v>1</v>
      </c>
      <c r="G123" s="33" t="n">
        <f aca="false">IF(G122&gt;=0,1,0)</f>
        <v>1</v>
      </c>
      <c r="H123" s="33" t="n">
        <f aca="false">IF(H122&gt;=0,1,0)</f>
        <v>1</v>
      </c>
      <c r="I123" s="33" t="n">
        <f aca="false">IF(I122&gt;=0,1,0)</f>
        <v>1</v>
      </c>
      <c r="J123" s="33" t="n">
        <f aca="false">IF(J122&gt;=0,1,0)</f>
        <v>1</v>
      </c>
    </row>
    <row r="124" customFormat="false" ht="15" hidden="false" customHeight="false" outlineLevel="0" collapsed="false">
      <c r="A124" s="0" t="s">
        <v>423</v>
      </c>
      <c r="C124" s="32" t="n">
        <f aca="false">0</f>
        <v>0</v>
      </c>
      <c r="D124" s="32" t="n">
        <f aca="false">0</f>
        <v>0</v>
      </c>
      <c r="E124" s="32" t="n">
        <f aca="false">0</f>
        <v>0</v>
      </c>
      <c r="F124" s="32" t="n">
        <f aca="false">0</f>
        <v>0</v>
      </c>
      <c r="G124" s="32" t="n">
        <f aca="false">0</f>
        <v>0</v>
      </c>
      <c r="H124" s="32" t="n">
        <f aca="false">0</f>
        <v>0</v>
      </c>
      <c r="I124" s="32" t="n">
        <f aca="false">0</f>
        <v>0</v>
      </c>
      <c r="J124" s="32" t="n">
        <f aca="false">J110*Inputs!$D$9</f>
        <v>86443508.9162556</v>
      </c>
    </row>
    <row r="125" customFormat="false" ht="15" hidden="false" customHeight="false" outlineLevel="0" collapsed="false">
      <c r="A125" s="9" t="s">
        <v>424</v>
      </c>
      <c r="C125" s="32" t="n">
        <f aca="false">C121</f>
        <v>-8812000</v>
      </c>
      <c r="D125" s="34" t="n">
        <f aca="false">D121+D124</f>
        <v>2689148.51269064</v>
      </c>
      <c r="E125" s="34" t="n">
        <f aca="false">E121+E124</f>
        <v>5660596.85334631</v>
      </c>
      <c r="F125" s="34" t="n">
        <f aca="false">F121+F124</f>
        <v>7130712.62915468</v>
      </c>
      <c r="G125" s="34" t="n">
        <f aca="false">G121+G124</f>
        <v>8364006.19253674</v>
      </c>
      <c r="H125" s="34" t="n">
        <f aca="false">H121+H124</f>
        <v>9611184.56259272</v>
      </c>
      <c r="I125" s="34" t="n">
        <f aca="false">I121+I124</f>
        <v>10823846.6764019</v>
      </c>
      <c r="J125" s="34" t="n">
        <f aca="false">J121+J124</f>
        <v>98501861.1036303</v>
      </c>
    </row>
    <row r="126" customFormat="false" ht="15" hidden="false" customHeight="false" outlineLevel="0" collapsed="false">
      <c r="A126" s="6" t="s">
        <v>425</v>
      </c>
      <c r="B126" s="7"/>
      <c r="C126" s="7"/>
      <c r="D126" s="7"/>
      <c r="E126" s="7"/>
      <c r="F126" s="7"/>
      <c r="G126" s="7"/>
      <c r="H126" s="7"/>
      <c r="I126" s="7"/>
      <c r="J126" s="7"/>
    </row>
    <row r="127" customFormat="false" ht="15" hidden="false" customHeight="false" outlineLevel="0" collapsed="false">
      <c r="A127" s="0" t="s">
        <v>101</v>
      </c>
      <c r="C127" s="42" t="n">
        <f aca="false">IFERROR(IRR(C121:J121),"n/a")</f>
        <v>0.606225356438866</v>
      </c>
    </row>
    <row r="128" customFormat="false" ht="15" hidden="false" customHeight="false" outlineLevel="0" collapsed="false">
      <c r="A128" s="0" t="s">
        <v>426</v>
      </c>
      <c r="C128" s="42" t="n">
        <f aca="false">IFERROR(IRR(C125:J125),"n/a")</f>
        <v>0.734804109952816</v>
      </c>
    </row>
    <row r="129" customFormat="false" ht="15" hidden="false" customHeight="false" outlineLevel="0" collapsed="false">
      <c r="A129" s="0" t="s">
        <v>427</v>
      </c>
      <c r="C129" s="34" t="n">
        <f aca="false">NPV(Inputs!$D$8,D121:J121)+C121</f>
        <v>21268407.6670084</v>
      </c>
    </row>
    <row r="130" customFormat="false" ht="15" hidden="false" customHeight="false" outlineLevel="0" collapsed="false">
      <c r="A130" s="0" t="s">
        <v>428</v>
      </c>
      <c r="C130" s="34" t="n">
        <f aca="false">NPV(Inputs!$D$8,D125:J125)+C125</f>
        <v>53765724.529551</v>
      </c>
    </row>
    <row r="131" customFormat="false" ht="15" hidden="false" customHeight="false" outlineLevel="0" collapsed="false">
      <c r="A131" s="0" t="s">
        <v>429</v>
      </c>
      <c r="C131" s="42" t="n">
        <f aca="false">-SUM(D121:J121)/C121-1</f>
        <v>5.39330998798203</v>
      </c>
    </row>
    <row r="132" customFormat="false" ht="15" hidden="false" customHeight="false" outlineLevel="0" collapsed="false">
      <c r="A132" s="0" t="s">
        <v>106</v>
      </c>
      <c r="C132" s="42" t="n">
        <f aca="false">-SUM(D125:J125)/C125-1</f>
        <v>15.2030590706256</v>
      </c>
    </row>
    <row r="133" customFormat="false" ht="15" hidden="false" customHeight="false" outlineLevel="0" collapsed="false">
      <c r="A133" s="0" t="s">
        <v>107</v>
      </c>
      <c r="C133" s="37" t="n">
        <f aca="false">IFERROR(MATCH(1,D123:J123,0),"beyond Y7")</f>
        <v>3</v>
      </c>
    </row>
    <row r="134" customFormat="false" ht="15" hidden="false" customHeight="false" outlineLevel="0" collapsed="false">
      <c r="A134" s="0" t="s">
        <v>430</v>
      </c>
      <c r="C134" s="34" t="n">
        <f aca="false">-C120</f>
        <v>8812000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0"/>
    <col collapsed="false" customWidth="true" hidden="false" outlineLevel="0" max="10" min="3" style="0" width="14"/>
  </cols>
  <sheetData>
    <row r="1" customFormat="false" ht="17.35" hidden="false" customHeight="false" outlineLevel="0" collapsed="false">
      <c r="A1" s="4" t="s">
        <v>432</v>
      </c>
    </row>
    <row r="3" customFormat="false" ht="15" hidden="false" customHeight="false" outlineLevel="0" collapsed="false">
      <c r="A3" s="5" t="s">
        <v>109</v>
      </c>
      <c r="B3" s="5" t="s">
        <v>356</v>
      </c>
      <c r="C3" s="5" t="s">
        <v>357</v>
      </c>
      <c r="D3" s="5" t="s">
        <v>110</v>
      </c>
      <c r="E3" s="5" t="s">
        <v>111</v>
      </c>
      <c r="F3" s="5" t="s">
        <v>112</v>
      </c>
      <c r="G3" s="5" t="s">
        <v>113</v>
      </c>
      <c r="H3" s="5" t="s">
        <v>114</v>
      </c>
      <c r="I3" s="5" t="s">
        <v>115</v>
      </c>
      <c r="J3" s="5" t="s">
        <v>116</v>
      </c>
    </row>
    <row r="4" customFormat="false" ht="15" hidden="false" customHeight="false" outlineLevel="0" collapsed="false">
      <c r="A4" s="6" t="s">
        <v>358</v>
      </c>
      <c r="B4" s="7"/>
      <c r="C4" s="7"/>
      <c r="D4" s="7"/>
      <c r="E4" s="7"/>
      <c r="F4" s="7"/>
      <c r="G4" s="7"/>
      <c r="H4" s="7"/>
      <c r="I4" s="7"/>
      <c r="J4" s="7"/>
    </row>
    <row r="5" customFormat="false" ht="15" hidden="false" customHeight="false" outlineLevel="0" collapsed="false">
      <c r="A5" s="0" t="s">
        <v>359</v>
      </c>
      <c r="D5" s="33" t="n">
        <f aca="false">1</f>
        <v>1</v>
      </c>
      <c r="E5" s="33" t="n">
        <f aca="false">2</f>
        <v>2</v>
      </c>
      <c r="F5" s="33" t="n">
        <f aca="false">3</f>
        <v>3</v>
      </c>
      <c r="G5" s="33" t="n">
        <f aca="false">4</f>
        <v>4</v>
      </c>
      <c r="H5" s="33" t="n">
        <f aca="false">5</f>
        <v>5</v>
      </c>
      <c r="I5" s="33" t="n">
        <f aca="false">6</f>
        <v>6</v>
      </c>
      <c r="J5" s="33" t="n">
        <f aca="false">7</f>
        <v>7</v>
      </c>
    </row>
    <row r="6" customFormat="false" ht="15" hidden="false" customHeight="false" outlineLevel="0" collapsed="false">
      <c r="A6" s="0" t="s">
        <v>360</v>
      </c>
      <c r="D6" s="36" t="n">
        <f aca="false">Curves!C7</f>
        <v>0.3</v>
      </c>
      <c r="E6" s="36" t="n">
        <f aca="false">Curves!D7</f>
        <v>0.55</v>
      </c>
      <c r="F6" s="36" t="n">
        <f aca="false">Curves!E7</f>
        <v>0.75</v>
      </c>
      <c r="G6" s="36" t="n">
        <f aca="false">Curves!F7</f>
        <v>0.9</v>
      </c>
      <c r="H6" s="36" t="n">
        <f aca="false">Curves!G7</f>
        <v>1</v>
      </c>
      <c r="I6" s="36" t="n">
        <f aca="false">Curves!H7</f>
        <v>1.05</v>
      </c>
      <c r="J6" s="36" t="n">
        <f aca="false">Curves!I7</f>
        <v>1.08</v>
      </c>
    </row>
    <row r="7" customFormat="false" ht="15" hidden="false" customHeight="false" outlineLevel="0" collapsed="false">
      <c r="A7" s="0" t="s">
        <v>361</v>
      </c>
      <c r="D7" s="33" t="n">
        <f aca="false">Inputs!$E$12*D6</f>
        <v>1903.8</v>
      </c>
      <c r="E7" s="33" t="n">
        <f aca="false">Inputs!$E$12*E6</f>
        <v>3490.3</v>
      </c>
      <c r="F7" s="33" t="n">
        <f aca="false">Inputs!$E$12*F6</f>
        <v>4759.5</v>
      </c>
      <c r="G7" s="33" t="n">
        <f aca="false">Inputs!$E$12*G6</f>
        <v>5711.4</v>
      </c>
      <c r="H7" s="33" t="n">
        <f aca="false">Inputs!$E$12*H6</f>
        <v>6346</v>
      </c>
      <c r="I7" s="33" t="n">
        <f aca="false">Inputs!$E$12*I6</f>
        <v>6663.3</v>
      </c>
      <c r="J7" s="33" t="n">
        <f aca="false">Inputs!$E$12*J6</f>
        <v>6853.68</v>
      </c>
    </row>
    <row r="8" customFormat="false" ht="15" hidden="false" customHeight="false" outlineLevel="0" collapsed="false">
      <c r="A8" s="0" t="s">
        <v>24</v>
      </c>
      <c r="D8" s="33" t="n">
        <f aca="false">Inputs!$E$13*D6</f>
        <v>8662.5</v>
      </c>
      <c r="E8" s="33" t="n">
        <f aca="false">Inputs!$E$13*E6</f>
        <v>15881.25</v>
      </c>
      <c r="F8" s="33" t="n">
        <f aca="false">Inputs!$E$13*F6</f>
        <v>21656.25</v>
      </c>
      <c r="G8" s="33" t="n">
        <f aca="false">Inputs!$E$13*G6</f>
        <v>25987.5</v>
      </c>
      <c r="H8" s="33" t="n">
        <f aca="false">Inputs!$E$13*H6</f>
        <v>28875</v>
      </c>
      <c r="I8" s="33" t="n">
        <f aca="false">Inputs!$E$13*I6</f>
        <v>30318.75</v>
      </c>
      <c r="J8" s="33" t="n">
        <f aca="false">Inputs!$E$13*J6</f>
        <v>31185</v>
      </c>
    </row>
    <row r="9" customFormat="false" ht="15" hidden="false" customHeight="false" outlineLevel="0" collapsed="false">
      <c r="A9" s="0" t="s">
        <v>25</v>
      </c>
      <c r="D9" s="33" t="n">
        <f aca="false">Inputs!$E$14*D6</f>
        <v>315</v>
      </c>
      <c r="E9" s="33" t="n">
        <f aca="false">Inputs!$E$14*E6</f>
        <v>577.5</v>
      </c>
      <c r="F9" s="33" t="n">
        <f aca="false">Inputs!$E$14*F6</f>
        <v>787.5</v>
      </c>
      <c r="G9" s="33" t="n">
        <f aca="false">Inputs!$E$14*G6</f>
        <v>945</v>
      </c>
      <c r="H9" s="33" t="n">
        <f aca="false">Inputs!$E$14*H6</f>
        <v>1050</v>
      </c>
      <c r="I9" s="33" t="n">
        <f aca="false">Inputs!$E$14*I6</f>
        <v>1102.5</v>
      </c>
      <c r="J9" s="33" t="n">
        <f aca="false">Inputs!$E$14*J6</f>
        <v>1134</v>
      </c>
    </row>
    <row r="10" customFormat="false" ht="15" hidden="false" customHeight="false" outlineLevel="0" collapsed="false">
      <c r="A10" s="0" t="s">
        <v>362</v>
      </c>
      <c r="D10" s="33" t="n">
        <f aca="false">Inputs!$E$16</f>
        <v>12778</v>
      </c>
      <c r="E10" s="33" t="n">
        <f aca="false">D15</f>
        <v>15354.541472</v>
      </c>
      <c r="F10" s="33" t="n">
        <f aca="false">E15</f>
        <v>19394.2294821714</v>
      </c>
      <c r="G10" s="33" t="n">
        <f aca="false">F15</f>
        <v>24772.0810715727</v>
      </c>
      <c r="H10" s="33" t="n">
        <f aca="false">G15</f>
        <v>31352.5227252535</v>
      </c>
      <c r="I10" s="33" t="n">
        <f aca="false">H15</f>
        <v>38988.4929709005</v>
      </c>
      <c r="J10" s="33" t="n">
        <f aca="false">I15</f>
        <v>39000</v>
      </c>
    </row>
    <row r="11" customFormat="false" ht="15" hidden="false" customHeight="false" outlineLevel="0" collapsed="false">
      <c r="A11" s="0" t="s">
        <v>26</v>
      </c>
      <c r="D11" s="33" t="n">
        <f aca="false">D10*Inputs!$E$15</f>
        <v>15333.6</v>
      </c>
      <c r="E11" s="33" t="n">
        <f aca="false">E10*Inputs!$E$15</f>
        <v>18425.4497664</v>
      </c>
      <c r="F11" s="33" t="n">
        <f aca="false">F10*Inputs!$E$15</f>
        <v>23273.0753786057</v>
      </c>
      <c r="G11" s="33" t="n">
        <f aca="false">G10*Inputs!$E$15</f>
        <v>29726.4972858872</v>
      </c>
      <c r="H11" s="33" t="n">
        <f aca="false">H10*Inputs!$E$15</f>
        <v>37623.0272703041</v>
      </c>
      <c r="I11" s="33" t="n">
        <f aca="false">I10*Inputs!$E$15</f>
        <v>46786.1915650806</v>
      </c>
      <c r="J11" s="33" t="n">
        <f aca="false">J10*Inputs!$E$15</f>
        <v>46800</v>
      </c>
    </row>
    <row r="12" customFormat="false" ht="15" hidden="false" customHeight="false" outlineLevel="0" collapsed="false">
      <c r="A12" s="9" t="s">
        <v>363</v>
      </c>
      <c r="D12" s="37" t="n">
        <f aca="false">D7+D8+D9+D11</f>
        <v>26214.9</v>
      </c>
      <c r="E12" s="37" t="n">
        <f aca="false">E7+E8+E9+E11</f>
        <v>38374.4997664</v>
      </c>
      <c r="F12" s="37" t="n">
        <f aca="false">F7+F8+F9+F11</f>
        <v>50476.3253786057</v>
      </c>
      <c r="G12" s="37" t="n">
        <f aca="false">G7+G8+G9+G11</f>
        <v>62370.3972858872</v>
      </c>
      <c r="H12" s="37" t="n">
        <f aca="false">H7+H8+H9+H11</f>
        <v>73894.0272703041</v>
      </c>
      <c r="I12" s="37" t="n">
        <f aca="false">I7+I8+I9+I11</f>
        <v>84870.7415650806</v>
      </c>
      <c r="J12" s="37" t="n">
        <f aca="false">J7+J8+J9+J11</f>
        <v>85972.68</v>
      </c>
    </row>
    <row r="13" customFormat="false" ht="15" hidden="false" customHeight="false" outlineLevel="0" collapsed="false">
      <c r="A13" s="0" t="s">
        <v>28</v>
      </c>
      <c r="D13" s="33" t="n">
        <f aca="false">D12*52</f>
        <v>1363174.8</v>
      </c>
      <c r="E13" s="33" t="n">
        <f aca="false">E12*52</f>
        <v>1995473.9878528</v>
      </c>
      <c r="F13" s="33" t="n">
        <f aca="false">F12*52</f>
        <v>2624768.9196875</v>
      </c>
      <c r="G13" s="33" t="n">
        <f aca="false">G12*52</f>
        <v>3243260.65886613</v>
      </c>
      <c r="H13" s="33" t="n">
        <f aca="false">H12*52</f>
        <v>3842489.41805582</v>
      </c>
      <c r="I13" s="33" t="n">
        <f aca="false">I12*52</f>
        <v>4413278.56138419</v>
      </c>
      <c r="J13" s="33" t="n">
        <f aca="false">J12*52</f>
        <v>4470579.36</v>
      </c>
    </row>
    <row r="14" customFormat="false" ht="15" hidden="false" customHeight="false" outlineLevel="0" collapsed="false">
      <c r="A14" s="0" t="s">
        <v>29</v>
      </c>
      <c r="D14" s="33" t="n">
        <f aca="false">D13*Inputs!$E$17*Inputs!$E$18</f>
        <v>3598.781472</v>
      </c>
      <c r="E14" s="33" t="n">
        <f aca="false">E13*Inputs!$E$17*Inputs!$E$18</f>
        <v>5268.05132793139</v>
      </c>
      <c r="F14" s="33" t="n">
        <f aca="false">F13*Inputs!$E$17*Inputs!$E$18</f>
        <v>6929.38994797499</v>
      </c>
      <c r="G14" s="33" t="n">
        <f aca="false">G13*Inputs!$E$17*Inputs!$E$18</f>
        <v>8562.2081394066</v>
      </c>
      <c r="H14" s="33" t="n">
        <f aca="false">H13*Inputs!$E$17*Inputs!$E$18</f>
        <v>10144.1720636674</v>
      </c>
      <c r="I14" s="33" t="n">
        <f aca="false">I13*Inputs!$E$17*Inputs!$E$18</f>
        <v>11651.0554020543</v>
      </c>
      <c r="J14" s="33" t="n">
        <f aca="false">J13*Inputs!$E$17*Inputs!$E$18</f>
        <v>11802.3295104</v>
      </c>
    </row>
    <row r="15" customFormat="false" ht="15" hidden="false" customHeight="false" outlineLevel="0" collapsed="false">
      <c r="A15" s="9" t="s">
        <v>364</v>
      </c>
      <c r="D15" s="37" t="n">
        <f aca="false">MIN(Inputs!$E$20,D10*(1-Inputs!$E$19)+D14)</f>
        <v>15354.541472</v>
      </c>
      <c r="E15" s="37" t="n">
        <f aca="false">MIN(Inputs!$E$20,E10*(1-Inputs!$E$19)+E14)</f>
        <v>19394.2294821714</v>
      </c>
      <c r="F15" s="37" t="n">
        <f aca="false">MIN(Inputs!$E$20,F10*(1-Inputs!$E$19)+F14)</f>
        <v>24772.0810715727</v>
      </c>
      <c r="G15" s="37" t="n">
        <f aca="false">MIN(Inputs!$E$20,G10*(1-Inputs!$E$19)+G14)</f>
        <v>31352.5227252535</v>
      </c>
      <c r="H15" s="37" t="n">
        <f aca="false">MIN(Inputs!$E$20,H10*(1-Inputs!$E$19)+H14)</f>
        <v>38988.4929709005</v>
      </c>
      <c r="I15" s="37" t="n">
        <f aca="false">MIN(Inputs!$E$20,I10*(1-Inputs!$E$19)+I14)</f>
        <v>39000</v>
      </c>
      <c r="J15" s="37" t="n">
        <f aca="false">MIN(Inputs!$E$20,J10*(1-Inputs!$E$19)+J14)</f>
        <v>39000</v>
      </c>
    </row>
    <row r="16" customFormat="false" ht="15" hidden="false" customHeight="false" outlineLevel="0" collapsed="false">
      <c r="A16" s="0" t="s">
        <v>365</v>
      </c>
      <c r="D16" s="33" t="n">
        <f aca="false">D15*Inputs!$E$47</f>
        <v>614.18165888</v>
      </c>
      <c r="E16" s="33" t="n">
        <f aca="false">E15*Inputs!$E$47</f>
        <v>775.769179286856</v>
      </c>
      <c r="F16" s="33" t="n">
        <f aca="false">F15*Inputs!$E$47</f>
        <v>990.883242862907</v>
      </c>
      <c r="G16" s="33" t="n">
        <f aca="false">G15*Inputs!$E$47</f>
        <v>1254.10090901014</v>
      </c>
      <c r="H16" s="33" t="n">
        <f aca="false">H15*Inputs!$E$47</f>
        <v>1559.53971883602</v>
      </c>
      <c r="I16" s="33" t="n">
        <f aca="false">I15*Inputs!$E$47</f>
        <v>1560</v>
      </c>
      <c r="J16" s="33" t="n">
        <f aca="false">J15*Inputs!$E$47</f>
        <v>1560</v>
      </c>
    </row>
    <row r="17" customFormat="false" ht="15" hidden="false" customHeight="false" outlineLevel="0" collapsed="false">
      <c r="A17" s="6" t="s">
        <v>366</v>
      </c>
      <c r="B17" s="7"/>
      <c r="C17" s="7"/>
      <c r="D17" s="7"/>
      <c r="E17" s="7"/>
      <c r="F17" s="7"/>
      <c r="G17" s="7"/>
      <c r="H17" s="7"/>
      <c r="I17" s="7"/>
      <c r="J17" s="7"/>
    </row>
    <row r="18" customFormat="false" ht="15" hidden="false" customHeight="false" outlineLevel="0" collapsed="false">
      <c r="A18" s="0" t="s">
        <v>367</v>
      </c>
      <c r="D18" s="32" t="n">
        <f aca="false">0</f>
        <v>0</v>
      </c>
      <c r="E18" s="32" t="n">
        <f aca="false">D23</f>
        <v>343941.7289728</v>
      </c>
      <c r="F18" s="32" t="n">
        <f aca="false">E23</f>
        <v>461946.078718464</v>
      </c>
      <c r="G18" s="32" t="n">
        <f aca="false">F23</f>
        <v>591850.302300706</v>
      </c>
      <c r="H18" s="32" t="n">
        <f aca="false">G23</f>
        <v>749644.533229734</v>
      </c>
      <c r="I18" s="32" t="n">
        <f aca="false">H23</f>
        <v>933313.805206552</v>
      </c>
      <c r="J18" s="32" t="n">
        <f aca="false">I23</f>
        <v>948265.104416525</v>
      </c>
    </row>
    <row r="19" customFormat="false" ht="15" hidden="false" customHeight="false" outlineLevel="0" collapsed="false">
      <c r="A19" s="0" t="s">
        <v>368</v>
      </c>
      <c r="D19" s="32" t="n">
        <f aca="false">D15*Inputs!$E$38</f>
        <v>4299271.61216</v>
      </c>
      <c r="E19" s="32" t="n">
        <f aca="false">E15*Inputs!$E$38</f>
        <v>5430384.25500799</v>
      </c>
      <c r="F19" s="32" t="n">
        <f aca="false">F15*Inputs!$E$38</f>
        <v>6936182.70004035</v>
      </c>
      <c r="G19" s="32" t="n">
        <f aca="false">G15*Inputs!$E$38</f>
        <v>8778706.36307097</v>
      </c>
      <c r="H19" s="32" t="n">
        <f aca="false">H15*Inputs!$E$38</f>
        <v>10916778.0318521</v>
      </c>
      <c r="I19" s="32" t="n">
        <f aca="false">I15*Inputs!$E$38</f>
        <v>10920000</v>
      </c>
      <c r="J19" s="32" t="n">
        <f aca="false">J15*Inputs!$E$38</f>
        <v>10920000</v>
      </c>
    </row>
    <row r="20" customFormat="false" ht="15" hidden="false" customHeight="false" outlineLevel="0" collapsed="false">
      <c r="A20" s="0" t="s">
        <v>369</v>
      </c>
      <c r="D20" s="32" t="n">
        <f aca="false">D18+D19</f>
        <v>4299271.61216</v>
      </c>
      <c r="E20" s="32" t="n">
        <f aca="false">E18+E19</f>
        <v>5774325.98398079</v>
      </c>
      <c r="F20" s="32" t="n">
        <f aca="false">F18+F19</f>
        <v>7398128.77875881</v>
      </c>
      <c r="G20" s="32" t="n">
        <f aca="false">G18+G19</f>
        <v>9370556.66537167</v>
      </c>
      <c r="H20" s="32" t="n">
        <f aca="false">H18+H19</f>
        <v>11666422.5650819</v>
      </c>
      <c r="I20" s="32" t="n">
        <f aca="false">I18+I19</f>
        <v>11853313.8052066</v>
      </c>
      <c r="J20" s="32" t="n">
        <f aca="false">J18+J19</f>
        <v>11868265.1044165</v>
      </c>
    </row>
    <row r="21" customFormat="false" ht="15" hidden="false" customHeight="false" outlineLevel="0" collapsed="false">
      <c r="A21" s="0" t="s">
        <v>370</v>
      </c>
      <c r="D21" s="32" t="n">
        <f aca="false">-D20*Inputs!$E$39</f>
        <v>-3525402.7219712</v>
      </c>
      <c r="E21" s="32" t="n">
        <f aca="false">-E20*Inputs!$E$39</f>
        <v>-4734947.30686425</v>
      </c>
      <c r="F21" s="32" t="n">
        <f aca="false">-F20*Inputs!$E$39</f>
        <v>-6066465.59858223</v>
      </c>
      <c r="G21" s="32" t="n">
        <f aca="false">-G20*Inputs!$E$39</f>
        <v>-7683856.46560477</v>
      </c>
      <c r="H21" s="32" t="n">
        <f aca="false">-H20*Inputs!$E$39</f>
        <v>-9566466.50336714</v>
      </c>
      <c r="I21" s="32" t="n">
        <f aca="false">-I20*Inputs!$E$39</f>
        <v>-9719717.32026937</v>
      </c>
      <c r="J21" s="32" t="n">
        <f aca="false">-J20*Inputs!$E$39</f>
        <v>-9731977.38562155</v>
      </c>
    </row>
    <row r="22" customFormat="false" ht="15" hidden="false" customHeight="false" outlineLevel="0" collapsed="false">
      <c r="A22" s="0" t="s">
        <v>371</v>
      </c>
      <c r="D22" s="32" t="n">
        <f aca="false">-D20*Inputs!$E$40</f>
        <v>-429927.161216</v>
      </c>
      <c r="E22" s="32" t="n">
        <f aca="false">-E20*Inputs!$E$40</f>
        <v>-577432.598398079</v>
      </c>
      <c r="F22" s="32" t="n">
        <f aca="false">-F20*Inputs!$E$40</f>
        <v>-739812.877875881</v>
      </c>
      <c r="G22" s="32" t="n">
        <f aca="false">-G20*Inputs!$E$40</f>
        <v>-937055.666537167</v>
      </c>
      <c r="H22" s="32" t="n">
        <f aca="false">-H20*Inputs!$E$40</f>
        <v>-1166642.25650819</v>
      </c>
      <c r="I22" s="32" t="n">
        <f aca="false">-I20*Inputs!$E$40</f>
        <v>-1185331.38052066</v>
      </c>
      <c r="J22" s="32" t="n">
        <f aca="false">-J20*Inputs!$E$40</f>
        <v>-1186826.51044165</v>
      </c>
    </row>
    <row r="23" customFormat="false" ht="15" hidden="false" customHeight="false" outlineLevel="0" collapsed="false">
      <c r="A23" s="9" t="s">
        <v>372</v>
      </c>
      <c r="D23" s="34" t="n">
        <f aca="false">D20+D21+D22</f>
        <v>343941.7289728</v>
      </c>
      <c r="E23" s="34" t="n">
        <f aca="false">E20+E21+E22</f>
        <v>461946.078718464</v>
      </c>
      <c r="F23" s="34" t="n">
        <f aca="false">F20+F21+F22</f>
        <v>591850.302300706</v>
      </c>
      <c r="G23" s="34" t="n">
        <f aca="false">G20+G21+G22</f>
        <v>749644.533229734</v>
      </c>
      <c r="H23" s="34" t="n">
        <f aca="false">H20+H21+H22</f>
        <v>933313.805206552</v>
      </c>
      <c r="I23" s="34" t="n">
        <f aca="false">I20+I21+I22</f>
        <v>948265.104416525</v>
      </c>
      <c r="J23" s="34" t="n">
        <f aca="false">J20+J21+J22</f>
        <v>949461.208353323</v>
      </c>
    </row>
    <row r="24" customFormat="false" ht="15" hidden="false" customHeight="false" outlineLevel="0" collapsed="false">
      <c r="A24" s="6" t="s">
        <v>373</v>
      </c>
      <c r="B24" s="7"/>
      <c r="C24" s="7"/>
      <c r="D24" s="7"/>
      <c r="E24" s="7"/>
      <c r="F24" s="7"/>
      <c r="G24" s="7"/>
      <c r="H24" s="7"/>
      <c r="I24" s="7"/>
      <c r="J24" s="7"/>
    </row>
    <row r="25" customFormat="false" ht="15" hidden="false" customHeight="false" outlineLevel="0" collapsed="false">
      <c r="A25" s="0" t="s">
        <v>374</v>
      </c>
      <c r="D25" s="32" t="n">
        <f aca="false">Positions!$G$13*Inputs!$E$23</f>
        <v>543510</v>
      </c>
      <c r="E25" s="32" t="n">
        <f aca="false">Positions!$G$13*Inputs!$E$23</f>
        <v>543510</v>
      </c>
      <c r="F25" s="32" t="n">
        <f aca="false">Positions!$G$13*Inputs!$E$23</f>
        <v>543510</v>
      </c>
      <c r="G25" s="32" t="n">
        <f aca="false">Positions!$G$13*Inputs!$E$23</f>
        <v>543510</v>
      </c>
      <c r="H25" s="32" t="n">
        <f aca="false">Positions!$G$13*Inputs!$E$23</f>
        <v>543510</v>
      </c>
      <c r="I25" s="32" t="n">
        <f aca="false">Positions!$G$13*Inputs!$E$23</f>
        <v>543510</v>
      </c>
      <c r="J25" s="32" t="n">
        <f aca="false">Positions!$G$13*Inputs!$E$23</f>
        <v>543510</v>
      </c>
    </row>
    <row r="26" customFormat="false" ht="15" hidden="false" customHeight="false" outlineLevel="0" collapsed="false">
      <c r="A26" s="0" t="s">
        <v>338</v>
      </c>
      <c r="D26" s="33" t="n">
        <f aca="false">Positions!$C$14</f>
        <v>987</v>
      </c>
      <c r="E26" s="33" t="n">
        <f aca="false">Positions!$C$14</f>
        <v>987</v>
      </c>
      <c r="F26" s="33" t="n">
        <f aca="false">Positions!$C$14</f>
        <v>987</v>
      </c>
      <c r="G26" s="33" t="n">
        <f aca="false">Positions!$C$14</f>
        <v>987</v>
      </c>
      <c r="H26" s="33" t="n">
        <f aca="false">Positions!$C$14</f>
        <v>987</v>
      </c>
      <c r="I26" s="33" t="n">
        <f aca="false">Positions!$C$14</f>
        <v>987</v>
      </c>
      <c r="J26" s="33" t="n">
        <f aca="false">Positions!$C$14</f>
        <v>987</v>
      </c>
    </row>
    <row r="27" customFormat="false" ht="15" hidden="false" customHeight="false" outlineLevel="0" collapsed="false">
      <c r="A27" s="0" t="s">
        <v>375</v>
      </c>
      <c r="D27" s="36" t="n">
        <f aca="false">Curves!C12</f>
        <v>0.6</v>
      </c>
      <c r="E27" s="36" t="n">
        <f aca="false">Curves!D12</f>
        <v>0.85</v>
      </c>
      <c r="F27" s="36" t="n">
        <f aca="false">Curves!E12</f>
        <v>0.95</v>
      </c>
      <c r="G27" s="36" t="n">
        <f aca="false">Curves!F12</f>
        <v>1</v>
      </c>
      <c r="H27" s="36" t="n">
        <f aca="false">Curves!G12</f>
        <v>1</v>
      </c>
      <c r="I27" s="36" t="n">
        <f aca="false">Curves!H12</f>
        <v>1</v>
      </c>
      <c r="J27" s="36" t="n">
        <f aca="false">Curves!I12</f>
        <v>1</v>
      </c>
    </row>
    <row r="28" customFormat="false" ht="15" hidden="false" customHeight="false" outlineLevel="0" collapsed="false">
      <c r="A28" s="0" t="s">
        <v>36</v>
      </c>
      <c r="D28" s="33" t="n">
        <f aca="false">D26*Inputs!$E$24*D27</f>
        <v>325.71</v>
      </c>
      <c r="E28" s="33" t="n">
        <f aca="false">E26*Inputs!$E$24*E27</f>
        <v>461.4225</v>
      </c>
      <c r="F28" s="33" t="n">
        <f aca="false">F26*Inputs!$E$24*F27</f>
        <v>515.7075</v>
      </c>
      <c r="G28" s="33" t="n">
        <f aca="false">G26*Inputs!$E$24*G27</f>
        <v>542.85</v>
      </c>
      <c r="H28" s="33" t="n">
        <f aca="false">H26*Inputs!$E$24*H27</f>
        <v>542.85</v>
      </c>
      <c r="I28" s="33" t="n">
        <f aca="false">I26*Inputs!$E$24*I27</f>
        <v>542.85</v>
      </c>
      <c r="J28" s="33" t="n">
        <f aca="false">J26*Inputs!$E$24*J27</f>
        <v>542.85</v>
      </c>
    </row>
    <row r="29" customFormat="false" ht="15" hidden="false" customHeight="false" outlineLevel="0" collapsed="false">
      <c r="A29" s="0" t="s">
        <v>376</v>
      </c>
      <c r="D29" s="33" t="n">
        <f aca="false">D26*Inputs!$E$25*D27</f>
        <v>207.27</v>
      </c>
      <c r="E29" s="33" t="n">
        <f aca="false">E26*Inputs!$E$25*E27</f>
        <v>293.6325</v>
      </c>
      <c r="F29" s="33" t="n">
        <f aca="false">F26*Inputs!$E$25*F27</f>
        <v>328.1775</v>
      </c>
      <c r="G29" s="33" t="n">
        <f aca="false">G26*Inputs!$E$25*G27</f>
        <v>345.45</v>
      </c>
      <c r="H29" s="33" t="n">
        <f aca="false">H26*Inputs!$E$25*H27</f>
        <v>345.45</v>
      </c>
      <c r="I29" s="33" t="n">
        <f aca="false">I26*Inputs!$E$25*I27</f>
        <v>345.45</v>
      </c>
      <c r="J29" s="33" t="n">
        <f aca="false">J26*Inputs!$E$25*J27</f>
        <v>345.45</v>
      </c>
    </row>
    <row r="30" customFormat="false" ht="15" hidden="false" customHeight="false" outlineLevel="0" collapsed="false">
      <c r="A30" s="0" t="s">
        <v>377</v>
      </c>
      <c r="D30" s="33" t="n">
        <f aca="false">D26-D28-D29</f>
        <v>454.02</v>
      </c>
      <c r="E30" s="33" t="n">
        <f aca="false">E26-E28-E29</f>
        <v>231.945</v>
      </c>
      <c r="F30" s="33" t="n">
        <f aca="false">F26-F28-F29</f>
        <v>143.115</v>
      </c>
      <c r="G30" s="33" t="n">
        <f aca="false">G26-G28-G29</f>
        <v>98.7</v>
      </c>
      <c r="H30" s="33" t="n">
        <f aca="false">H26-H28-H29</f>
        <v>98.7</v>
      </c>
      <c r="I30" s="33" t="n">
        <f aca="false">I26-I28-I29</f>
        <v>98.7</v>
      </c>
      <c r="J30" s="33" t="n">
        <f aca="false">J26-J28-J29</f>
        <v>98.7</v>
      </c>
    </row>
    <row r="31" customFormat="false" ht="15" hidden="false" customHeight="false" outlineLevel="0" collapsed="false">
      <c r="A31" s="0" t="s">
        <v>378</v>
      </c>
      <c r="D31" s="36" t="n">
        <f aca="false">Curves!C17</f>
        <v>0.75</v>
      </c>
      <c r="E31" s="36" t="n">
        <f aca="false">Curves!D17</f>
        <v>0.88</v>
      </c>
      <c r="F31" s="36" t="n">
        <f aca="false">Curves!E17</f>
        <v>0.93</v>
      </c>
      <c r="G31" s="36" t="n">
        <f aca="false">Curves!F17</f>
        <v>0.95</v>
      </c>
      <c r="H31" s="36" t="n">
        <f aca="false">Curves!G17</f>
        <v>0.95</v>
      </c>
      <c r="I31" s="36" t="n">
        <f aca="false">Curves!H17</f>
        <v>0.95</v>
      </c>
      <c r="J31" s="36" t="n">
        <f aca="false">Curves!I17</f>
        <v>0.95</v>
      </c>
    </row>
    <row r="32" customFormat="false" ht="15" hidden="false" customHeight="false" outlineLevel="0" collapsed="false">
      <c r="A32" s="0" t="s">
        <v>379</v>
      </c>
      <c r="D32" s="36" t="n">
        <f aca="false">Curves!C22</f>
        <v>0.7</v>
      </c>
      <c r="E32" s="36" t="n">
        <f aca="false">Curves!D22</f>
        <v>0.85</v>
      </c>
      <c r="F32" s="36" t="n">
        <f aca="false">Curves!E22</f>
        <v>0.92</v>
      </c>
      <c r="G32" s="36" t="n">
        <f aca="false">Curves!F22</f>
        <v>0.95</v>
      </c>
      <c r="H32" s="36" t="n">
        <f aca="false">Curves!G22</f>
        <v>0.95</v>
      </c>
      <c r="I32" s="36" t="n">
        <f aca="false">Curves!H22</f>
        <v>0.95</v>
      </c>
      <c r="J32" s="36" t="n">
        <f aca="false">Curves!I22</f>
        <v>0.95</v>
      </c>
    </row>
    <row r="33" customFormat="false" ht="15" hidden="false" customHeight="false" outlineLevel="0" collapsed="false">
      <c r="A33" s="9" t="s">
        <v>380</v>
      </c>
      <c r="D33" s="37" t="n">
        <f aca="false">D28+D29*D31+D30*D32</f>
        <v>798.9765</v>
      </c>
      <c r="E33" s="37" t="n">
        <f aca="false">E28+E29*E31+E30*E32</f>
        <v>916.97235</v>
      </c>
      <c r="F33" s="37" t="n">
        <f aca="false">F28+F29*F31+F30*F32</f>
        <v>952.578375</v>
      </c>
      <c r="G33" s="37" t="n">
        <f aca="false">G28+G29*G31+G30*G32</f>
        <v>964.7925</v>
      </c>
      <c r="H33" s="37" t="n">
        <f aca="false">H28+H29*H31+H30*H32</f>
        <v>964.7925</v>
      </c>
      <c r="I33" s="37" t="n">
        <f aca="false">I28+I29*I31+I30*I32</f>
        <v>964.7925</v>
      </c>
      <c r="J33" s="37" t="n">
        <f aca="false">J28+J29*J31+J30*J32</f>
        <v>964.7925</v>
      </c>
    </row>
    <row r="34" customFormat="false" ht="15" hidden="false" customHeight="false" outlineLevel="0" collapsed="false">
      <c r="A34" s="0" t="s">
        <v>381</v>
      </c>
      <c r="D34" s="36" t="n">
        <f aca="false">D33/D26</f>
        <v>0.8095</v>
      </c>
      <c r="E34" s="36" t="n">
        <f aca="false">E33/E26</f>
        <v>0.92905</v>
      </c>
      <c r="F34" s="36" t="n">
        <f aca="false">F33/F26</f>
        <v>0.965125</v>
      </c>
      <c r="G34" s="36" t="n">
        <f aca="false">G33/G26</f>
        <v>0.9775</v>
      </c>
      <c r="H34" s="36" t="n">
        <f aca="false">H33/H26</f>
        <v>0.9775</v>
      </c>
      <c r="I34" s="36" t="n">
        <f aca="false">I33/I26</f>
        <v>0.9775</v>
      </c>
      <c r="J34" s="36" t="n">
        <f aca="false">J33/J26</f>
        <v>0.9775</v>
      </c>
    </row>
    <row r="35" customFormat="false" ht="15" hidden="false" customHeight="false" outlineLevel="0" collapsed="false">
      <c r="A35" s="0" t="s">
        <v>382</v>
      </c>
      <c r="D35" s="32" t="n">
        <f aca="false">D25/D26</f>
        <v>550.668693009119</v>
      </c>
      <c r="E35" s="32" t="n">
        <f aca="false">E25/E26</f>
        <v>550.668693009119</v>
      </c>
      <c r="F35" s="32" t="n">
        <f aca="false">F25/F26</f>
        <v>550.668693009119</v>
      </c>
      <c r="G35" s="32" t="n">
        <f aca="false">G25/G26</f>
        <v>550.668693009119</v>
      </c>
      <c r="H35" s="32" t="n">
        <f aca="false">H25/H26</f>
        <v>550.668693009119</v>
      </c>
      <c r="I35" s="32" t="n">
        <f aca="false">I25/I26</f>
        <v>550.668693009119</v>
      </c>
      <c r="J35" s="32" t="n">
        <f aca="false">J25/J26</f>
        <v>550.668693009119</v>
      </c>
    </row>
    <row r="36" customFormat="false" ht="15" hidden="false" customHeight="false" outlineLevel="0" collapsed="false">
      <c r="A36" s="0" t="s">
        <v>383</v>
      </c>
      <c r="D36" s="32" t="n">
        <f aca="false">D29*D35*12*Inputs!$E$26*D31</f>
        <v>2259914.58</v>
      </c>
      <c r="E36" s="32" t="n">
        <f aca="false">E29*E35*12*Inputs!$E$26*E31</f>
        <v>3756480.2352</v>
      </c>
      <c r="F36" s="32" t="n">
        <f aca="false">F29*F35*12*Inputs!$E$26*F31</f>
        <v>4436965.6254</v>
      </c>
      <c r="G36" s="32" t="n">
        <f aca="false">G29*G35*12*Inputs!$E$26*G31</f>
        <v>4770930.78</v>
      </c>
      <c r="H36" s="32" t="n">
        <f aca="false">H29*H35*12*Inputs!$E$26*H31</f>
        <v>4770930.78</v>
      </c>
      <c r="I36" s="32" t="n">
        <f aca="false">I29*I35*12*Inputs!$E$26*I31</f>
        <v>4770930.78</v>
      </c>
      <c r="J36" s="32" t="n">
        <f aca="false">J29*J35*12*Inputs!$E$26*J31</f>
        <v>4770930.78</v>
      </c>
    </row>
    <row r="37" customFormat="false" ht="15" hidden="false" customHeight="false" outlineLevel="0" collapsed="false">
      <c r="A37" s="0" t="s">
        <v>384</v>
      </c>
      <c r="D37" s="32" t="n">
        <f aca="false">D36*Inputs!$E$27</f>
        <v>1581940.206</v>
      </c>
      <c r="E37" s="32" t="n">
        <f aca="false">E36*Inputs!$E$27</f>
        <v>2629536.16464</v>
      </c>
      <c r="F37" s="32" t="n">
        <f aca="false">F36*Inputs!$E$27</f>
        <v>3105875.93778</v>
      </c>
      <c r="G37" s="32" t="n">
        <f aca="false">G36*Inputs!$E$27</f>
        <v>3339651.546</v>
      </c>
      <c r="H37" s="32" t="n">
        <f aca="false">H36*Inputs!$E$27</f>
        <v>3339651.546</v>
      </c>
      <c r="I37" s="32" t="n">
        <f aca="false">I36*Inputs!$E$27</f>
        <v>3339651.546</v>
      </c>
      <c r="J37" s="32" t="n">
        <f aca="false">J36*Inputs!$E$27</f>
        <v>3339651.546</v>
      </c>
    </row>
    <row r="38" customFormat="false" ht="15" hidden="false" customHeight="false" outlineLevel="0" collapsed="false">
      <c r="A38" s="0" t="s">
        <v>385</v>
      </c>
      <c r="D38" s="32" t="n">
        <f aca="false">IF(D29&gt;0,D37/D29-D35*12,0)</f>
        <v>1024.24376899696</v>
      </c>
      <c r="E38" s="32" t="n">
        <f aca="false">IF(E29&gt;0,E37/E29-E35*12,0)</f>
        <v>2347.17023708207</v>
      </c>
      <c r="F38" s="32" t="n">
        <f aca="false">IF(F29&gt;0,F37/F29-F35*12,0)</f>
        <v>2855.98810942249</v>
      </c>
      <c r="G38" s="32" t="n">
        <f aca="false">IF(G29&gt;0,G37/G29-G35*12,0)</f>
        <v>3059.51525835866</v>
      </c>
      <c r="H38" s="32" t="n">
        <f aca="false">IF(H29&gt;0,H37/H29-H35*12,0)</f>
        <v>3059.51525835866</v>
      </c>
      <c r="I38" s="32" t="n">
        <f aca="false">IF(I29&gt;0,I37/I29-I35*12,0)</f>
        <v>3059.51525835866</v>
      </c>
      <c r="J38" s="32" t="n">
        <f aca="false">IF(J29&gt;0,J37/J29-J35*12,0)</f>
        <v>3059.51525835866</v>
      </c>
    </row>
    <row r="39" customFormat="false" ht="15" hidden="false" customHeight="false" outlineLevel="0" collapsed="false">
      <c r="A39" s="0" t="s">
        <v>386</v>
      </c>
      <c r="D39" s="32" t="n">
        <f aca="false">MAX(0,D38/Inputs!$E$30)</f>
        <v>10242.4376899696</v>
      </c>
      <c r="E39" s="32" t="n">
        <f aca="false">MAX(0,E38/Inputs!$E$30)</f>
        <v>23471.7023708207</v>
      </c>
      <c r="F39" s="32" t="n">
        <f aca="false">MAX(0,F38/Inputs!$E$30)</f>
        <v>28559.8810942249</v>
      </c>
      <c r="G39" s="32" t="n">
        <f aca="false">MAX(0,G38/Inputs!$E$30)</f>
        <v>30595.1525835866</v>
      </c>
      <c r="H39" s="32" t="n">
        <f aca="false">MAX(0,H38/Inputs!$E$30)</f>
        <v>30595.1525835866</v>
      </c>
      <c r="I39" s="32" t="n">
        <f aca="false">MAX(0,I38/Inputs!$E$30)</f>
        <v>30595.1525835866</v>
      </c>
      <c r="J39" s="32" t="n">
        <f aca="false">MAX(0,J38/Inputs!$E$30)</f>
        <v>30595.1525835866</v>
      </c>
    </row>
    <row r="40" customFormat="false" ht="15" hidden="false" customHeight="false" outlineLevel="0" collapsed="false">
      <c r="A40" s="6" t="s">
        <v>387</v>
      </c>
      <c r="B40" s="7"/>
      <c r="C40" s="7"/>
      <c r="D40" s="7"/>
      <c r="E40" s="7"/>
      <c r="F40" s="7"/>
      <c r="G40" s="7"/>
      <c r="H40" s="7"/>
      <c r="I40" s="7"/>
      <c r="J40" s="7"/>
    </row>
    <row r="41" customFormat="false" ht="15" hidden="false" customHeight="false" outlineLevel="0" collapsed="false">
      <c r="A41" s="0" t="s">
        <v>45</v>
      </c>
      <c r="B41" s="0" t="s">
        <v>388</v>
      </c>
      <c r="D41" s="32" t="n">
        <f aca="false">D28*D35*12</f>
        <v>2152299.6</v>
      </c>
      <c r="E41" s="32" t="n">
        <f aca="false">E28*E35*12</f>
        <v>3049091.1</v>
      </c>
      <c r="F41" s="32" t="n">
        <f aca="false">F28*F35*12</f>
        <v>3407807.7</v>
      </c>
      <c r="G41" s="32" t="n">
        <f aca="false">G28*G35*12</f>
        <v>3587166</v>
      </c>
      <c r="H41" s="32" t="n">
        <f aca="false">H28*H35*12</f>
        <v>3587166</v>
      </c>
      <c r="I41" s="32" t="n">
        <f aca="false">I28*I35*12</f>
        <v>3587166</v>
      </c>
      <c r="J41" s="32" t="n">
        <f aca="false">J28*J35*12</f>
        <v>3587166</v>
      </c>
    </row>
    <row r="42" customFormat="false" ht="15" hidden="false" customHeight="false" outlineLevel="0" collapsed="false">
      <c r="A42" s="0" t="s">
        <v>46</v>
      </c>
      <c r="B42" s="0" t="s">
        <v>388</v>
      </c>
      <c r="D42" s="32" t="n">
        <f aca="false">D29*D35*12</f>
        <v>1369645.2</v>
      </c>
      <c r="E42" s="32" t="n">
        <f aca="false">E29*E35*12</f>
        <v>1940330.7</v>
      </c>
      <c r="F42" s="32" t="n">
        <f aca="false">F29*F35*12</f>
        <v>2168604.9</v>
      </c>
      <c r="G42" s="32" t="n">
        <f aca="false">G29*G35*12</f>
        <v>2282742</v>
      </c>
      <c r="H42" s="32" t="n">
        <f aca="false">H29*H35*12</f>
        <v>2282742</v>
      </c>
      <c r="I42" s="32" t="n">
        <f aca="false">I29*I35*12</f>
        <v>2282742</v>
      </c>
      <c r="J42" s="32" t="n">
        <f aca="false">J29*J35*12</f>
        <v>2282742</v>
      </c>
    </row>
    <row r="43" customFormat="false" ht="15" hidden="false" customHeight="false" outlineLevel="0" collapsed="false">
      <c r="A43" s="0" t="s">
        <v>47</v>
      </c>
      <c r="B43" s="0" t="s">
        <v>388</v>
      </c>
      <c r="D43" s="32" t="n">
        <f aca="false">D36*(1-Inputs!$E$27)</f>
        <v>677974.374</v>
      </c>
      <c r="E43" s="32" t="n">
        <f aca="false">E36*(1-Inputs!$E$27)</f>
        <v>1126944.07056</v>
      </c>
      <c r="F43" s="32" t="n">
        <f aca="false">F36*(1-Inputs!$E$27)</f>
        <v>1331089.68762</v>
      </c>
      <c r="G43" s="32" t="n">
        <f aca="false">G36*(1-Inputs!$E$27)</f>
        <v>1431279.234</v>
      </c>
      <c r="H43" s="32" t="n">
        <f aca="false">H36*(1-Inputs!$E$27)</f>
        <v>1431279.234</v>
      </c>
      <c r="I43" s="32" t="n">
        <f aca="false">I36*(1-Inputs!$E$27)</f>
        <v>1431279.234</v>
      </c>
      <c r="J43" s="32" t="n">
        <f aca="false">J36*(1-Inputs!$E$27)</f>
        <v>1431279.234</v>
      </c>
    </row>
    <row r="44" customFormat="false" ht="15" hidden="false" customHeight="false" outlineLevel="0" collapsed="false">
      <c r="A44" s="0" t="s">
        <v>48</v>
      </c>
      <c r="B44" s="0" t="s">
        <v>388</v>
      </c>
      <c r="D44" s="32" t="n">
        <f aca="false">D30*D35*12*Inputs!$E$26*D32</f>
        <v>4620269.808</v>
      </c>
      <c r="E44" s="32" t="n">
        <f aca="false">E30*E35*12*Inputs!$E$26*E32</f>
        <v>2866145.634</v>
      </c>
      <c r="F44" s="32" t="n">
        <f aca="false">F30*F35*12*Inputs!$E$26*F32</f>
        <v>1914111.7776</v>
      </c>
      <c r="G44" s="32" t="n">
        <f aca="false">G30*G35*12*Inputs!$E$26*G32</f>
        <v>1363123.08</v>
      </c>
      <c r="H44" s="32" t="n">
        <f aca="false">H30*H35*12*Inputs!$E$26*H32</f>
        <v>1363123.08</v>
      </c>
      <c r="I44" s="32" t="n">
        <f aca="false">I30*I35*12*Inputs!$E$26*I32</f>
        <v>1363123.08</v>
      </c>
      <c r="J44" s="32" t="n">
        <f aca="false">J30*J35*12*Inputs!$E$26*J32</f>
        <v>1363123.08</v>
      </c>
    </row>
    <row r="45" customFormat="false" ht="15" hidden="false" customHeight="false" outlineLevel="0" collapsed="false">
      <c r="A45" s="0" t="s">
        <v>49</v>
      </c>
      <c r="B45" s="0" t="s">
        <v>388</v>
      </c>
      <c r="D45" s="32" t="n">
        <f aca="false">Inputs!$E$31*((D28+D29)-0)</f>
        <v>0</v>
      </c>
      <c r="E45" s="32" t="n">
        <f aca="false">Inputs!$E$31*((E28+E29)-(D28+D29))</f>
        <v>0</v>
      </c>
      <c r="F45" s="32" t="n">
        <f aca="false">Inputs!$E$31*((F28+F29)-(E28+E29))</f>
        <v>0</v>
      </c>
      <c r="G45" s="32" t="n">
        <f aca="false">Inputs!$E$31*((G28+G29)-(F28+F29))</f>
        <v>0</v>
      </c>
      <c r="H45" s="32" t="n">
        <f aca="false">Inputs!$E$31*((H28+H29)-(G28+G29))</f>
        <v>0</v>
      </c>
      <c r="I45" s="32" t="n">
        <f aca="false">Inputs!$E$31*((I28+I29)-(H28+H29))</f>
        <v>0</v>
      </c>
      <c r="J45" s="32" t="n">
        <f aca="false">Inputs!$E$31*((J28+J29)-(I28+I29))</f>
        <v>0</v>
      </c>
    </row>
    <row r="46" customFormat="false" ht="15" hidden="false" customHeight="false" outlineLevel="0" collapsed="false">
      <c r="A46" s="0" t="s">
        <v>50</v>
      </c>
      <c r="B46" s="0" t="s">
        <v>388</v>
      </c>
      <c r="D46" s="32" t="n">
        <f aca="false">(D28+D29)*Inputs!$E$29*D39*Inputs!$E$28</f>
        <v>27295.0722</v>
      </c>
      <c r="E46" s="32" t="n">
        <f aca="false">(E28+E29)*Inputs!$E$29*E39*Inputs!$E$28</f>
        <v>88612.1311680001</v>
      </c>
      <c r="F46" s="32" t="n">
        <f aca="false">(F28+F29)*Inputs!$E$29*F39*Inputs!$E$28</f>
        <v>120506.276286</v>
      </c>
      <c r="G46" s="32" t="n">
        <f aca="false">(G28+G29)*Inputs!$E$29*G39*Inputs!$E$28</f>
        <v>135888.3702</v>
      </c>
      <c r="H46" s="32" t="n">
        <f aca="false">(H28+H29)*Inputs!$E$29*H39*Inputs!$E$28</f>
        <v>135888.3702</v>
      </c>
      <c r="I46" s="32" t="n">
        <f aca="false">(I28+I29)*Inputs!$E$29*I39*Inputs!$E$28</f>
        <v>135888.3702</v>
      </c>
      <c r="J46" s="32" t="n">
        <f aca="false">(J28+J29)*Inputs!$E$29*J39*Inputs!$E$28</f>
        <v>135888.3702</v>
      </c>
    </row>
    <row r="47" customFormat="false" ht="15" hidden="false" customHeight="false" outlineLevel="0" collapsed="false">
      <c r="A47" s="0" t="s">
        <v>51</v>
      </c>
      <c r="B47" s="0" t="s">
        <v>388</v>
      </c>
      <c r="D47" s="32" t="n">
        <f aca="false">D33*Inputs!$E$32*MAX(0,MIN(1,(1*12-Inputs!$E$77)/12))</f>
        <v>207733.89</v>
      </c>
      <c r="E47" s="32" t="n">
        <f aca="false">E33*Inputs!$E$32*MAX(0,MIN(1,(2*12-Inputs!$E$77)/12))</f>
        <v>476825.622</v>
      </c>
      <c r="F47" s="32" t="n">
        <f aca="false">F33*Inputs!$E$32*MAX(0,MIN(1,(3*12-Inputs!$E$77)/12))</f>
        <v>495340.755</v>
      </c>
      <c r="G47" s="32" t="n">
        <f aca="false">G33*Inputs!$E$32*MAX(0,MIN(1,(4*12-Inputs!$E$77)/12))</f>
        <v>501692.1</v>
      </c>
      <c r="H47" s="32" t="n">
        <f aca="false">H33*Inputs!$E$32*MAX(0,MIN(1,(5*12-Inputs!$E$77)/12))</f>
        <v>501692.1</v>
      </c>
      <c r="I47" s="32" t="n">
        <f aca="false">I33*Inputs!$E$32*MAX(0,MIN(1,(6*12-Inputs!$E$77)/12))</f>
        <v>501692.1</v>
      </c>
      <c r="J47" s="32" t="n">
        <f aca="false">J33*Inputs!$E$32*MAX(0,MIN(1,(7*12-Inputs!$E$77)/12))</f>
        <v>501692.1</v>
      </c>
    </row>
    <row r="48" customFormat="false" ht="15" hidden="false" customHeight="false" outlineLevel="0" collapsed="false">
      <c r="A48" s="0" t="s">
        <v>52</v>
      </c>
      <c r="B48" s="0" t="s">
        <v>388</v>
      </c>
      <c r="D48" s="32" t="n">
        <f aca="false">D13*Inputs!$E$42</f>
        <v>504914.619070769</v>
      </c>
      <c r="E48" s="32" t="n">
        <f aca="false">E13*Inputs!$E$42</f>
        <v>739115.767429331</v>
      </c>
      <c r="F48" s="32" t="n">
        <f aca="false">F13*Inputs!$E$42</f>
        <v>972204.151098454</v>
      </c>
      <c r="G48" s="32" t="n">
        <f aca="false">G13*Inputs!$E$42</f>
        <v>1201291.07442318</v>
      </c>
      <c r="H48" s="32" t="n">
        <f aca="false">H13*Inputs!$E$42</f>
        <v>1423243.06523354</v>
      </c>
      <c r="I48" s="32" t="n">
        <f aca="false">I13*Inputs!$E$42</f>
        <v>1634661.13346175</v>
      </c>
      <c r="J48" s="32" t="n">
        <f aca="false">J13*Inputs!$E$42</f>
        <v>1655885.12535593</v>
      </c>
    </row>
    <row r="49" customFormat="false" ht="15" hidden="false" customHeight="false" outlineLevel="0" collapsed="false">
      <c r="A49" s="0" t="s">
        <v>53</v>
      </c>
      <c r="B49" s="0" t="s">
        <v>388</v>
      </c>
      <c r="D49" s="32" t="n">
        <f aca="false">D13*Inputs!$E$43</f>
        <v>315571.63691923</v>
      </c>
      <c r="E49" s="32" t="n">
        <f aca="false">E13*Inputs!$E$43</f>
        <v>461947.354643332</v>
      </c>
      <c r="F49" s="32" t="n">
        <f aca="false">F13*Inputs!$E$43</f>
        <v>607627.594436534</v>
      </c>
      <c r="G49" s="32" t="n">
        <f aca="false">G13*Inputs!$E$43</f>
        <v>750806.921514488</v>
      </c>
      <c r="H49" s="32" t="n">
        <f aca="false">H13*Inputs!$E$43</f>
        <v>889526.91577096</v>
      </c>
      <c r="I49" s="32" t="n">
        <f aca="false">I13*Inputs!$E$43</f>
        <v>1021663.20841359</v>
      </c>
      <c r="J49" s="32" t="n">
        <f aca="false">J13*Inputs!$E$43</f>
        <v>1034928.20334745</v>
      </c>
    </row>
    <row r="50" customFormat="false" ht="15" hidden="false" customHeight="false" outlineLevel="0" collapsed="false">
      <c r="A50" s="0" t="s">
        <v>54</v>
      </c>
      <c r="B50" s="0" t="s">
        <v>388</v>
      </c>
      <c r="D50" s="32" t="n">
        <f aca="false">Inputs!$E$45</f>
        <v>250000</v>
      </c>
      <c r="E50" s="32" t="n">
        <f aca="false">Inputs!$E$45</f>
        <v>250000</v>
      </c>
      <c r="F50" s="32" t="n">
        <f aca="false">Inputs!$E$45</f>
        <v>250000</v>
      </c>
      <c r="G50" s="32" t="n">
        <f aca="false">Inputs!$E$45</f>
        <v>250000</v>
      </c>
      <c r="H50" s="32" t="n">
        <f aca="false">Inputs!$E$45</f>
        <v>250000</v>
      </c>
      <c r="I50" s="32" t="n">
        <f aca="false">Inputs!$E$45</f>
        <v>250000</v>
      </c>
      <c r="J50" s="32" t="n">
        <f aca="false">Inputs!$E$45</f>
        <v>250000</v>
      </c>
    </row>
    <row r="51" customFormat="false" ht="15" hidden="false" customHeight="false" outlineLevel="0" collapsed="false">
      <c r="A51" s="9" t="s">
        <v>55</v>
      </c>
      <c r="B51" s="38" t="s">
        <v>388</v>
      </c>
      <c r="D51" s="39" t="n">
        <f aca="false">SUM(D41:D50)</f>
        <v>10125704.20019</v>
      </c>
      <c r="E51" s="39" t="n">
        <f aca="false">SUM(E41:E50)</f>
        <v>10999012.3798007</v>
      </c>
      <c r="F51" s="39" t="n">
        <f aca="false">SUM(F41:F50)</f>
        <v>11267292.842041</v>
      </c>
      <c r="G51" s="39" t="n">
        <f aca="false">SUM(G41:G50)</f>
        <v>11503988.7801377</v>
      </c>
      <c r="H51" s="39" t="n">
        <f aca="false">SUM(H41:H50)</f>
        <v>11864660.7652045</v>
      </c>
      <c r="I51" s="39" t="n">
        <f aca="false">SUM(I41:I50)</f>
        <v>12208215.1260753</v>
      </c>
      <c r="J51" s="39" t="n">
        <f aca="false">SUM(J41:J50)</f>
        <v>12242704.1129034</v>
      </c>
    </row>
    <row r="52" customFormat="false" ht="15" hidden="false" customHeight="false" outlineLevel="0" collapsed="false">
      <c r="A52" s="6" t="s">
        <v>389</v>
      </c>
      <c r="B52" s="7"/>
      <c r="C52" s="7"/>
      <c r="D52" s="7"/>
      <c r="E52" s="7"/>
      <c r="F52" s="7"/>
      <c r="G52" s="7"/>
      <c r="H52" s="7"/>
      <c r="I52" s="7"/>
      <c r="J52" s="7"/>
    </row>
    <row r="53" customFormat="false" ht="15" hidden="false" customHeight="false" outlineLevel="0" collapsed="false">
      <c r="A53" s="0" t="s">
        <v>56</v>
      </c>
      <c r="B53" s="0" t="s">
        <v>390</v>
      </c>
      <c r="D53" s="32" t="n">
        <f aca="false">D13*Inputs!$E$35*MAX(0,MIN(1,(1*12-Inputs!$E$77)/12))</f>
        <v>347128.800611154</v>
      </c>
      <c r="E53" s="32" t="n">
        <f aca="false">E13*Inputs!$E$35*MAX(0,MIN(1,(2*12-Inputs!$E$77)/12))</f>
        <v>1016284.18021533</v>
      </c>
      <c r="F53" s="32" t="n">
        <f aca="false">F13*Inputs!$E$35*MAX(0,MIN(1,(3*12-Inputs!$E$77)/12))</f>
        <v>1336780.70776037</v>
      </c>
      <c r="G53" s="32" t="n">
        <f aca="false">G13*Inputs!$E$35*MAX(0,MIN(1,(4*12-Inputs!$E$77)/12))</f>
        <v>1651775.22733187</v>
      </c>
      <c r="H53" s="32" t="n">
        <f aca="false">H13*Inputs!$E$35*MAX(0,MIN(1,(5*12-Inputs!$E$77)/12))</f>
        <v>1956959.21469611</v>
      </c>
      <c r="I53" s="32" t="n">
        <f aca="false">I13*Inputs!$E$35*MAX(0,MIN(1,(6*12-Inputs!$E$77)/12))</f>
        <v>2247659.0585099</v>
      </c>
      <c r="J53" s="32" t="n">
        <f aca="false">J13*Inputs!$E$35*MAX(0,MIN(1,(7*12-Inputs!$E$77)/12))</f>
        <v>2276842.0473644</v>
      </c>
    </row>
    <row r="54" customFormat="false" ht="15" hidden="false" customHeight="false" outlineLevel="0" collapsed="false">
      <c r="A54" s="0" t="s">
        <v>57</v>
      </c>
      <c r="B54" s="0" t="s">
        <v>390</v>
      </c>
      <c r="D54" s="32" t="n">
        <f aca="false">D13*Inputs!$E$36</f>
        <v>1167615.05660115</v>
      </c>
      <c r="E54" s="32" t="n">
        <f aca="false">E13*Inputs!$E$36</f>
        <v>1709205.21218033</v>
      </c>
      <c r="F54" s="32" t="n">
        <f aca="false">F13*Inputs!$E$36</f>
        <v>2248222.09941518</v>
      </c>
      <c r="G54" s="32" t="n">
        <f aca="false">G13*Inputs!$E$36</f>
        <v>2777985.60960361</v>
      </c>
      <c r="H54" s="32" t="n">
        <f aca="false">H13*Inputs!$E$36</f>
        <v>3291249.58835255</v>
      </c>
      <c r="I54" s="32" t="n">
        <f aca="false">I13*Inputs!$E$36</f>
        <v>3780153.87113029</v>
      </c>
      <c r="J54" s="32" t="n">
        <f aca="false">J13*Inputs!$E$36</f>
        <v>3829234.35238558</v>
      </c>
    </row>
    <row r="55" customFormat="false" ht="15" hidden="false" customHeight="false" outlineLevel="0" collapsed="false">
      <c r="A55" s="0" t="s">
        <v>58</v>
      </c>
      <c r="B55" s="0" t="s">
        <v>390</v>
      </c>
      <c r="D55" s="32" t="n">
        <f aca="false">D15*Inputs!$E$37</f>
        <v>905524.24065641</v>
      </c>
      <c r="E55" s="32" t="n">
        <f aca="false">E15*Inputs!$E$37</f>
        <v>1143762.25151267</v>
      </c>
      <c r="F55" s="32" t="n">
        <f aca="false">F15*Inputs!$E$37</f>
        <v>1460917.60165685</v>
      </c>
      <c r="G55" s="32" t="n">
        <f aca="false">G15*Inputs!$E$37</f>
        <v>1848994.92995084</v>
      </c>
      <c r="H55" s="32" t="n">
        <f aca="false">H15*Inputs!$E$37</f>
        <v>2299321.38033516</v>
      </c>
      <c r="I55" s="32" t="n">
        <f aca="false">I15*Inputs!$E$37</f>
        <v>2300000</v>
      </c>
      <c r="J55" s="32" t="n">
        <f aca="false">J15*Inputs!$E$37</f>
        <v>2300000</v>
      </c>
    </row>
    <row r="56" customFormat="false" ht="15" hidden="false" customHeight="false" outlineLevel="0" collapsed="false">
      <c r="A56" s="0" t="s">
        <v>59</v>
      </c>
      <c r="B56" s="0" t="s">
        <v>390</v>
      </c>
      <c r="D56" s="32" t="n">
        <f aca="false">-D22</f>
        <v>429927.161216</v>
      </c>
      <c r="E56" s="32" t="n">
        <f aca="false">-E22</f>
        <v>577432.598398079</v>
      </c>
      <c r="F56" s="32" t="n">
        <f aca="false">-F22</f>
        <v>739812.877875881</v>
      </c>
      <c r="G56" s="32" t="n">
        <f aca="false">-G22</f>
        <v>937055.666537167</v>
      </c>
      <c r="H56" s="32" t="n">
        <f aca="false">-H22</f>
        <v>1166642.25650819</v>
      </c>
      <c r="I56" s="32" t="n">
        <f aca="false">-I22</f>
        <v>1185331.38052066</v>
      </c>
      <c r="J56" s="32" t="n">
        <f aca="false">-J22</f>
        <v>1186826.51044165</v>
      </c>
    </row>
    <row r="57" customFormat="false" ht="15" hidden="false" customHeight="false" outlineLevel="0" collapsed="false">
      <c r="A57" s="0" t="s">
        <v>60</v>
      </c>
      <c r="B57" s="0" t="s">
        <v>390</v>
      </c>
      <c r="D57" s="32" t="n">
        <f aca="false">D13*Inputs!$E$41*MAX(0,MIN(1,(1*12-Inputs!$E$78)/12))</f>
        <v>0</v>
      </c>
      <c r="E57" s="32" t="n">
        <f aca="false">E13*Inputs!$E$41*MAX(0,MIN(1,(2*12-Inputs!$E$78)/12))</f>
        <v>461947.354643332</v>
      </c>
      <c r="F57" s="32" t="n">
        <f aca="false">F13*Inputs!$E$41*MAX(0,MIN(1,(3*12-Inputs!$E$78)/12))</f>
        <v>607627.594436534</v>
      </c>
      <c r="G57" s="32" t="n">
        <f aca="false">G13*Inputs!$E$41*MAX(0,MIN(1,(4*12-Inputs!$E$78)/12))</f>
        <v>750806.921514488</v>
      </c>
      <c r="H57" s="32" t="n">
        <f aca="false">H13*Inputs!$E$41*MAX(0,MIN(1,(5*12-Inputs!$E$78)/12))</f>
        <v>889526.91577096</v>
      </c>
      <c r="I57" s="32" t="n">
        <f aca="false">I13*Inputs!$E$41*MAX(0,MIN(1,(6*12-Inputs!$E$78)/12))</f>
        <v>1021663.20841359</v>
      </c>
      <c r="J57" s="32" t="n">
        <f aca="false">J13*Inputs!$E$41*MAX(0,MIN(1,(7*12-Inputs!$E$78)/12))</f>
        <v>1034928.20334745</v>
      </c>
    </row>
    <row r="58" customFormat="false" ht="15" hidden="false" customHeight="false" outlineLevel="0" collapsed="false">
      <c r="A58" s="0" t="s">
        <v>61</v>
      </c>
      <c r="B58" s="0" t="s">
        <v>390</v>
      </c>
      <c r="D58" s="32" t="n">
        <f aca="false">D13*Inputs!$E$44*MAX(0,MIN(1,(1*12-Inputs!$E$76)/12))</f>
        <v>260346.600458365</v>
      </c>
      <c r="E58" s="32" t="n">
        <f aca="false">E13*Inputs!$E$44*MAX(0,MIN(1,(2*12-Inputs!$E$76)/12))</f>
        <v>508142.090107665</v>
      </c>
      <c r="F58" s="32" t="n">
        <f aca="false">F13*Inputs!$E$44*MAX(0,MIN(1,(3*12-Inputs!$E$76)/12))</f>
        <v>668390.353880187</v>
      </c>
      <c r="G58" s="32" t="n">
        <f aca="false">G13*Inputs!$E$44*MAX(0,MIN(1,(4*12-Inputs!$E$76)/12))</f>
        <v>825887.613665937</v>
      </c>
      <c r="H58" s="32" t="n">
        <f aca="false">H13*Inputs!$E$44*MAX(0,MIN(1,(5*12-Inputs!$E$76)/12))</f>
        <v>978479.607348056</v>
      </c>
      <c r="I58" s="32" t="n">
        <f aca="false">I13*Inputs!$E$44*MAX(0,MIN(1,(6*12-Inputs!$E$76)/12))</f>
        <v>1123829.52925495</v>
      </c>
      <c r="J58" s="32" t="n">
        <f aca="false">J13*Inputs!$E$44*MAX(0,MIN(1,(7*12-Inputs!$E$76)/12))</f>
        <v>1138421.0236822</v>
      </c>
    </row>
    <row r="59" customFormat="false" ht="15" hidden="false" customHeight="false" outlineLevel="0" collapsed="false">
      <c r="A59" s="0" t="s">
        <v>62</v>
      </c>
      <c r="B59" s="0" t="s">
        <v>390</v>
      </c>
      <c r="D59" s="40" t="n">
        <f aca="false">Inputs!$E$57*Inputs!$E$62*MAX(0,MIN(1,(1*12-Inputs!$E$80)/12))</f>
        <v>75000</v>
      </c>
      <c r="E59" s="40" t="n">
        <f aca="false">Inputs!$E$57*Inputs!$E$62*MAX(0,MIN(1,(2*12-Inputs!$E$80)/12))</f>
        <v>100000</v>
      </c>
      <c r="F59" s="40" t="n">
        <f aca="false">Inputs!$E$57*Inputs!$E$62*MAX(0,MIN(1,(3*12-Inputs!$E$80)/12))</f>
        <v>100000</v>
      </c>
      <c r="G59" s="40" t="n">
        <f aca="false">Inputs!$E$57*Inputs!$E$62*MAX(0,MIN(1,(4*12-Inputs!$E$80)/12))</f>
        <v>100000</v>
      </c>
      <c r="H59" s="40" t="n">
        <f aca="false">Inputs!$E$57*Inputs!$E$62*MAX(0,MIN(1,(5*12-Inputs!$E$80)/12))</f>
        <v>100000</v>
      </c>
      <c r="I59" s="40" t="n">
        <f aca="false">Inputs!$E$57*Inputs!$E$62*MAX(0,MIN(1,(6*12-Inputs!$E$80)/12))</f>
        <v>100000</v>
      </c>
      <c r="J59" s="40" t="n">
        <f aca="false">Inputs!$E$57*Inputs!$E$62*MAX(0,MIN(1,(7*12-Inputs!$E$80)/12))</f>
        <v>100000</v>
      </c>
    </row>
    <row r="60" customFormat="false" ht="15" hidden="false" customHeight="false" outlineLevel="0" collapsed="false">
      <c r="A60" s="0" t="s">
        <v>63</v>
      </c>
      <c r="B60" s="0" t="s">
        <v>390</v>
      </c>
      <c r="D60" s="40" t="n">
        <f aca="false">Inputs!$E$57*D13*Inputs!$E$60*Inputs!$E$61*MAX(0,MIN(1,(1*12-Inputs!$E$80)/12))</f>
        <v>153357.165</v>
      </c>
      <c r="E60" s="40" t="n">
        <f aca="false">Inputs!$E$57*E13*Inputs!$E$60*Inputs!$E$61*MAX(0,MIN(1,(2*12-Inputs!$E$80)/12))</f>
        <v>299321.09817792</v>
      </c>
      <c r="F60" s="40" t="n">
        <f aca="false">Inputs!$E$57*F13*Inputs!$E$60*Inputs!$E$61*MAX(0,MIN(1,(3*12-Inputs!$E$80)/12))</f>
        <v>393715.337953124</v>
      </c>
      <c r="G60" s="40" t="n">
        <f aca="false">Inputs!$E$57*G13*Inputs!$E$60*Inputs!$E$61*MAX(0,MIN(1,(4*12-Inputs!$E$80)/12))</f>
        <v>486489.09882992</v>
      </c>
      <c r="H60" s="40" t="n">
        <f aca="false">Inputs!$E$57*H13*Inputs!$E$60*Inputs!$E$61*MAX(0,MIN(1,(5*12-Inputs!$E$80)/12))</f>
        <v>576373.412708372</v>
      </c>
      <c r="I60" s="40" t="n">
        <f aca="false">Inputs!$E$57*I13*Inputs!$E$60*Inputs!$E$61*MAX(0,MIN(1,(6*12-Inputs!$E$80)/12))</f>
        <v>661991.784207629</v>
      </c>
      <c r="J60" s="40" t="n">
        <f aca="false">Inputs!$E$57*J13*Inputs!$E$60*Inputs!$E$61*MAX(0,MIN(1,(7*12-Inputs!$E$80)/12))</f>
        <v>670586.904</v>
      </c>
    </row>
    <row r="61" customFormat="false" ht="15" hidden="false" customHeight="false" outlineLevel="0" collapsed="false">
      <c r="A61" s="9" t="s">
        <v>64</v>
      </c>
      <c r="B61" s="38" t="s">
        <v>390</v>
      </c>
      <c r="D61" s="39" t="n">
        <f aca="false">SUM(D53:D60)</f>
        <v>3338899.02454308</v>
      </c>
      <c r="E61" s="39" t="n">
        <f aca="false">SUM(E53:E60)</f>
        <v>5816094.78523533</v>
      </c>
      <c r="F61" s="39" t="n">
        <f aca="false">SUM(F53:F60)</f>
        <v>7555466.57297813</v>
      </c>
      <c r="G61" s="39" t="n">
        <f aca="false">SUM(G53:G60)</f>
        <v>9378995.06743384</v>
      </c>
      <c r="H61" s="39" t="n">
        <f aca="false">SUM(H53:H60)</f>
        <v>11258552.3757194</v>
      </c>
      <c r="I61" s="39" t="n">
        <f aca="false">SUM(I53:I60)</f>
        <v>12420628.832037</v>
      </c>
      <c r="J61" s="39" t="n">
        <f aca="false">SUM(J53:J60)</f>
        <v>12536839.0412213</v>
      </c>
    </row>
    <row r="62" customFormat="false" ht="15" hidden="false" customHeight="false" outlineLevel="0" collapsed="false">
      <c r="A62" s="9" t="s">
        <v>65</v>
      </c>
      <c r="D62" s="34" t="n">
        <f aca="false">D51+D61</f>
        <v>13464603.2247331</v>
      </c>
      <c r="E62" s="34" t="n">
        <f aca="false">E51+E61</f>
        <v>16815107.165036</v>
      </c>
      <c r="F62" s="34" t="n">
        <f aca="false">F51+F61</f>
        <v>18822759.4150191</v>
      </c>
      <c r="G62" s="34" t="n">
        <f aca="false">G51+G61</f>
        <v>20882983.8475715</v>
      </c>
      <c r="H62" s="34" t="n">
        <f aca="false">H51+H61</f>
        <v>23123213.1409239</v>
      </c>
      <c r="I62" s="34" t="n">
        <f aca="false">I51+I61</f>
        <v>24628843.9581124</v>
      </c>
      <c r="J62" s="34" t="n">
        <f aca="false">J51+J61</f>
        <v>24779543.1541247</v>
      </c>
    </row>
    <row r="63" customFormat="false" ht="15" hidden="false" customHeight="false" outlineLevel="0" collapsed="false">
      <c r="A63" s="6" t="s">
        <v>391</v>
      </c>
      <c r="B63" s="7"/>
      <c r="C63" s="7"/>
      <c r="D63" s="7"/>
      <c r="E63" s="7"/>
      <c r="F63" s="7"/>
      <c r="G63" s="7"/>
      <c r="H63" s="7"/>
      <c r="I63" s="7"/>
      <c r="J63" s="7"/>
    </row>
    <row r="64" customFormat="false" ht="15" hidden="false" customHeight="false" outlineLevel="0" collapsed="false">
      <c r="A64" s="0" t="s">
        <v>392</v>
      </c>
      <c r="D64" s="32" t="n">
        <f aca="false">-Inputs!$E$83</f>
        <v>-3800000</v>
      </c>
      <c r="E64" s="32" t="n">
        <f aca="false">-Inputs!$E$83</f>
        <v>-3800000</v>
      </c>
      <c r="F64" s="32" t="n">
        <f aca="false">-Inputs!$E$83</f>
        <v>-3800000</v>
      </c>
      <c r="G64" s="32" t="n">
        <f aca="false">-Inputs!$E$83</f>
        <v>-3800000</v>
      </c>
      <c r="H64" s="32" t="n">
        <f aca="false">-Inputs!$E$83</f>
        <v>-3800000</v>
      </c>
      <c r="I64" s="32" t="n">
        <f aca="false">-Inputs!$E$83</f>
        <v>-3800000</v>
      </c>
      <c r="J64" s="32" t="n">
        <f aca="false">-Inputs!$E$83</f>
        <v>-3800000</v>
      </c>
    </row>
    <row r="65" customFormat="false" ht="15" hidden="false" customHeight="false" outlineLevel="0" collapsed="false">
      <c r="A65" s="0" t="s">
        <v>270</v>
      </c>
      <c r="D65" s="32" t="n">
        <f aca="false">-Inputs!$E$84*Inputs!$E$6</f>
        <v>-600000</v>
      </c>
      <c r="E65" s="32" t="n">
        <f aca="false">-Inputs!$E$84*Inputs!$E$6</f>
        <v>-600000</v>
      </c>
      <c r="F65" s="32" t="n">
        <f aca="false">-Inputs!$E$84*Inputs!$E$6</f>
        <v>-600000</v>
      </c>
      <c r="G65" s="32" t="n">
        <f aca="false">-Inputs!$E$84*Inputs!$E$6</f>
        <v>-600000</v>
      </c>
      <c r="H65" s="32" t="n">
        <f aca="false">-Inputs!$E$84*Inputs!$E$6</f>
        <v>-600000</v>
      </c>
      <c r="I65" s="32" t="n">
        <f aca="false">-Inputs!$E$84*Inputs!$E$6</f>
        <v>-600000</v>
      </c>
      <c r="J65" s="32" t="n">
        <f aca="false">-Inputs!$E$84*Inputs!$E$6</f>
        <v>-600000</v>
      </c>
    </row>
    <row r="66" customFormat="false" ht="15" hidden="false" customHeight="false" outlineLevel="0" collapsed="false">
      <c r="A66" s="0" t="s">
        <v>393</v>
      </c>
      <c r="D66" s="32" t="n">
        <f aca="false">-Inputs!$E$85</f>
        <v>-150000</v>
      </c>
      <c r="E66" s="32" t="n">
        <f aca="false">-Inputs!$E$85</f>
        <v>-150000</v>
      </c>
      <c r="F66" s="32" t="n">
        <f aca="false">-Inputs!$E$85</f>
        <v>-150000</v>
      </c>
      <c r="G66" s="32" t="n">
        <f aca="false">-Inputs!$E$85</f>
        <v>-150000</v>
      </c>
      <c r="H66" s="32" t="n">
        <f aca="false">-Inputs!$E$85</f>
        <v>-150000</v>
      </c>
      <c r="I66" s="32" t="n">
        <f aca="false">-Inputs!$E$85</f>
        <v>-150000</v>
      </c>
      <c r="J66" s="32" t="n">
        <f aca="false">-Inputs!$E$85</f>
        <v>-150000</v>
      </c>
    </row>
    <row r="67" customFormat="false" ht="15" hidden="false" customHeight="false" outlineLevel="0" collapsed="false">
      <c r="A67" s="0" t="s">
        <v>394</v>
      </c>
      <c r="D67" s="32" t="n">
        <f aca="false">-Inputs!$E$86</f>
        <v>-300000</v>
      </c>
      <c r="E67" s="32" t="n">
        <f aca="false">-Inputs!$E$86</f>
        <v>-300000</v>
      </c>
      <c r="F67" s="32" t="n">
        <f aca="false">-Inputs!$E$86</f>
        <v>-300000</v>
      </c>
      <c r="G67" s="32" t="n">
        <f aca="false">-Inputs!$E$86</f>
        <v>-300000</v>
      </c>
      <c r="H67" s="32" t="n">
        <f aca="false">-Inputs!$E$86</f>
        <v>-300000</v>
      </c>
      <c r="I67" s="32" t="n">
        <f aca="false">-Inputs!$E$86</f>
        <v>-300000</v>
      </c>
      <c r="J67" s="32" t="n">
        <f aca="false">-Inputs!$E$86</f>
        <v>-300000</v>
      </c>
    </row>
    <row r="68" customFormat="false" ht="15" hidden="false" customHeight="false" outlineLevel="0" collapsed="false">
      <c r="A68" s="0" t="s">
        <v>273</v>
      </c>
      <c r="D68" s="32" t="n">
        <f aca="false">-Inputs!$E$87</f>
        <v>-220000</v>
      </c>
      <c r="E68" s="32" t="n">
        <f aca="false">-Inputs!$E$87</f>
        <v>-220000</v>
      </c>
      <c r="F68" s="32" t="n">
        <f aca="false">-Inputs!$E$87</f>
        <v>-220000</v>
      </c>
      <c r="G68" s="32" t="n">
        <f aca="false">-Inputs!$E$87</f>
        <v>-220000</v>
      </c>
      <c r="H68" s="32" t="n">
        <f aca="false">-Inputs!$E$87</f>
        <v>-220000</v>
      </c>
      <c r="I68" s="32" t="n">
        <f aca="false">-Inputs!$E$87</f>
        <v>-220000</v>
      </c>
      <c r="J68" s="32" t="n">
        <f aca="false">-Inputs!$E$87</f>
        <v>-220000</v>
      </c>
    </row>
    <row r="69" customFormat="false" ht="15" hidden="false" customHeight="false" outlineLevel="0" collapsed="false">
      <c r="A69" s="0" t="s">
        <v>395</v>
      </c>
      <c r="D69" s="32" t="n">
        <f aca="false">-Inputs!$E$88</f>
        <v>-300000</v>
      </c>
      <c r="E69" s="32" t="n">
        <f aca="false">-Inputs!$E$88</f>
        <v>-300000</v>
      </c>
      <c r="F69" s="32" t="n">
        <f aca="false">-Inputs!$E$88</f>
        <v>-300000</v>
      </c>
      <c r="G69" s="32" t="n">
        <f aca="false">-Inputs!$E$88</f>
        <v>-300000</v>
      </c>
      <c r="H69" s="32" t="n">
        <f aca="false">-Inputs!$E$88</f>
        <v>-300000</v>
      </c>
      <c r="I69" s="32" t="n">
        <f aca="false">-Inputs!$E$88</f>
        <v>-300000</v>
      </c>
      <c r="J69" s="32" t="n">
        <f aca="false">-Inputs!$E$88</f>
        <v>-300000</v>
      </c>
    </row>
    <row r="70" customFormat="false" ht="15" hidden="false" customHeight="false" outlineLevel="0" collapsed="false">
      <c r="A70" s="0" t="s">
        <v>396</v>
      </c>
      <c r="D70" s="32" t="n">
        <f aca="false">-D13*Inputs!$E$89</f>
        <v>-817904.88</v>
      </c>
      <c r="E70" s="32" t="n">
        <f aca="false">-E13*Inputs!$E$89</f>
        <v>-1197284.39271168</v>
      </c>
      <c r="F70" s="32" t="n">
        <f aca="false">-F13*Inputs!$E$89</f>
        <v>-1574861.3518125</v>
      </c>
      <c r="G70" s="32" t="n">
        <f aca="false">-G13*Inputs!$E$89</f>
        <v>-1945956.39531968</v>
      </c>
      <c r="H70" s="32" t="n">
        <f aca="false">-H13*Inputs!$E$89</f>
        <v>-2305493.65083349</v>
      </c>
      <c r="I70" s="32" t="n">
        <f aca="false">-I13*Inputs!$E$89</f>
        <v>-2647967.13683052</v>
      </c>
      <c r="J70" s="32" t="n">
        <f aca="false">-J13*Inputs!$E$89</f>
        <v>-2682347.616</v>
      </c>
    </row>
    <row r="71" customFormat="false" ht="15" hidden="false" customHeight="false" outlineLevel="0" collapsed="false">
      <c r="A71" s="0" t="s">
        <v>397</v>
      </c>
      <c r="D71" s="32" t="n">
        <f aca="false">-(D48*Inputs!$E$90+D49*Inputs!$E$91+D58*Inputs!$E$92+D47*Inputs!$E$93)</f>
        <v>-566968.322178971</v>
      </c>
      <c r="E71" s="32" t="n">
        <f aca="false">-(E48*Inputs!$E$90+E49*Inputs!$E$91+E58*Inputs!$E$92+E47*Inputs!$E$93)</f>
        <v>-954431.210697164</v>
      </c>
      <c r="F71" s="32" t="n">
        <f aca="false">-(F48*Inputs!$E$90+F49*Inputs!$E$91+F58*Inputs!$E$92+F47*Inputs!$E$93)</f>
        <v>-1189493.14887663</v>
      </c>
      <c r="G71" s="32" t="n">
        <f aca="false">-(G48*Inputs!$E$90+G49*Inputs!$E$91+G58*Inputs!$E$92+G47*Inputs!$E$93)</f>
        <v>-1414596.77834746</v>
      </c>
      <c r="H71" s="32" t="n">
        <f aca="false">-(H48*Inputs!$E$90+H49*Inputs!$E$91+H58*Inputs!$E$92+H47*Inputs!$E$93)</f>
        <v>-1629612.76944499</v>
      </c>
      <c r="I71" s="32" t="n">
        <f aca="false">-(I48*Inputs!$E$90+I49*Inputs!$E$91+I58*Inputs!$E$92+I47*Inputs!$E$93)</f>
        <v>-1834424.02304107</v>
      </c>
      <c r="J71" s="32" t="n">
        <f aca="false">-(J48*Inputs!$E$90+J49*Inputs!$E$91+J58*Inputs!$E$92+J47*Inputs!$E$93)</f>
        <v>-1854984.76518855</v>
      </c>
    </row>
    <row r="72" customFormat="false" ht="15" hidden="false" customHeight="false" outlineLevel="0" collapsed="false">
      <c r="A72" s="0" t="s">
        <v>398</v>
      </c>
      <c r="D72" s="32" t="n">
        <f aca="false">-MAX(0,D62*Inputs!$E$94-Inputs!$E$95)</f>
        <v>-507876.193483985</v>
      </c>
      <c r="E72" s="32" t="n">
        <f aca="false">-MAX(0,E62*Inputs!$E$94-Inputs!$E$95)</f>
        <v>-708906.429902159</v>
      </c>
      <c r="F72" s="32" t="n">
        <f aca="false">-MAX(0,F62*Inputs!$E$94-Inputs!$E$95)</f>
        <v>-829365.564901147</v>
      </c>
      <c r="G72" s="32" t="n">
        <f aca="false">-MAX(0,G62*Inputs!$E$94-Inputs!$E$95)</f>
        <v>-952979.03085429</v>
      </c>
      <c r="H72" s="32" t="n">
        <f aca="false">-MAX(0,H62*Inputs!$E$94-Inputs!$E$95)</f>
        <v>-1087392.78845543</v>
      </c>
      <c r="I72" s="32" t="n">
        <f aca="false">-MAX(0,I62*Inputs!$E$94-Inputs!$E$95)</f>
        <v>-1177730.63748674</v>
      </c>
      <c r="J72" s="32" t="n">
        <f aca="false">-MAX(0,J62*Inputs!$E$94-Inputs!$E$95)</f>
        <v>-1186772.58924748</v>
      </c>
    </row>
    <row r="73" customFormat="false" ht="15" hidden="false" customHeight="false" outlineLevel="0" collapsed="false">
      <c r="A73" s="0" t="s">
        <v>286</v>
      </c>
      <c r="D73" s="32" t="n">
        <f aca="false">-D62*Inputs!$E$96</f>
        <v>-269292.064494662</v>
      </c>
      <c r="E73" s="32" t="n">
        <f aca="false">-E62*Inputs!$E$96</f>
        <v>-336302.14330072</v>
      </c>
      <c r="F73" s="32" t="n">
        <f aca="false">-F62*Inputs!$E$96</f>
        <v>-376455.188300382</v>
      </c>
      <c r="G73" s="32" t="n">
        <f aca="false">-G62*Inputs!$E$96</f>
        <v>-417659.67695143</v>
      </c>
      <c r="H73" s="32" t="n">
        <f aca="false">-H62*Inputs!$E$96</f>
        <v>-462464.262818478</v>
      </c>
      <c r="I73" s="32" t="n">
        <f aca="false">-I62*Inputs!$E$96</f>
        <v>-492576.879162247</v>
      </c>
      <c r="J73" s="32" t="n">
        <f aca="false">-J62*Inputs!$E$96</f>
        <v>-495590.863082494</v>
      </c>
    </row>
    <row r="74" customFormat="false" ht="15" hidden="false" customHeight="false" outlineLevel="0" collapsed="false">
      <c r="A74" s="0" t="s">
        <v>399</v>
      </c>
      <c r="D74" s="40" t="n">
        <f aca="false">-Inputs!$E$57*Inputs!$E$65*MAX(0,MIN(1,(1*12-Inputs!$E$80)/12))</f>
        <v>-112500</v>
      </c>
      <c r="E74" s="40" t="n">
        <f aca="false">-Inputs!$E$57*Inputs!$E$65*MAX(0,MIN(1,(2*12-Inputs!$E$80)/12))</f>
        <v>-150000</v>
      </c>
      <c r="F74" s="40" t="n">
        <f aca="false">-Inputs!$E$57*Inputs!$E$65*MAX(0,MIN(1,(3*12-Inputs!$E$80)/12))</f>
        <v>-150000</v>
      </c>
      <c r="G74" s="40" t="n">
        <f aca="false">-Inputs!$E$57*Inputs!$E$65*MAX(0,MIN(1,(4*12-Inputs!$E$80)/12))</f>
        <v>-150000</v>
      </c>
      <c r="H74" s="40" t="n">
        <f aca="false">-Inputs!$E$57*Inputs!$E$65*MAX(0,MIN(1,(5*12-Inputs!$E$80)/12))</f>
        <v>-150000</v>
      </c>
      <c r="I74" s="40" t="n">
        <f aca="false">-Inputs!$E$57*Inputs!$E$65*MAX(0,MIN(1,(6*12-Inputs!$E$80)/12))</f>
        <v>-150000</v>
      </c>
      <c r="J74" s="40" t="n">
        <f aca="false">-Inputs!$E$57*Inputs!$E$65*MAX(0,MIN(1,(7*12-Inputs!$E$80)/12))</f>
        <v>-150000</v>
      </c>
    </row>
    <row r="75" customFormat="false" ht="15" hidden="false" customHeight="false" outlineLevel="0" collapsed="false">
      <c r="A75" s="9" t="s">
        <v>400</v>
      </c>
      <c r="D75" s="34" t="n">
        <f aca="false">SUM(D64:D74)</f>
        <v>-7644541.46015762</v>
      </c>
      <c r="E75" s="34" t="n">
        <f aca="false">SUM(E64:E74)</f>
        <v>-8716924.17661172</v>
      </c>
      <c r="F75" s="34" t="n">
        <f aca="false">SUM(F64:F74)</f>
        <v>-9490175.25389065</v>
      </c>
      <c r="G75" s="34" t="n">
        <f aca="false">SUM(G64:G74)</f>
        <v>-10251191.8814729</v>
      </c>
      <c r="H75" s="34" t="n">
        <f aca="false">SUM(H64:H74)</f>
        <v>-11004963.4715524</v>
      </c>
      <c r="I75" s="34" t="n">
        <f aca="false">SUM(I64:I74)</f>
        <v>-11672698.6765206</v>
      </c>
      <c r="J75" s="34" t="n">
        <f aca="false">SUM(J64:J74)</f>
        <v>-11739695.8335185</v>
      </c>
    </row>
    <row r="76" customFormat="false" ht="15" hidden="false" customHeight="false" outlineLevel="0" collapsed="false">
      <c r="A76" s="9" t="s">
        <v>87</v>
      </c>
      <c r="D76" s="34" t="n">
        <f aca="false">D62+D75</f>
        <v>5820061.76457546</v>
      </c>
      <c r="E76" s="34" t="n">
        <f aca="false">E62+E75</f>
        <v>8098182.98842427</v>
      </c>
      <c r="F76" s="34" t="n">
        <f aca="false">F62+F75</f>
        <v>9332584.16112846</v>
      </c>
      <c r="G76" s="34" t="n">
        <f aca="false">G62+G75</f>
        <v>10631791.9660987</v>
      </c>
      <c r="H76" s="34" t="n">
        <f aca="false">H62+H75</f>
        <v>12118249.6693715</v>
      </c>
      <c r="I76" s="34" t="n">
        <f aca="false">I62+I75</f>
        <v>12956145.2815918</v>
      </c>
      <c r="J76" s="34" t="n">
        <f aca="false">J62+J75</f>
        <v>13039847.3206061</v>
      </c>
    </row>
    <row r="77" customFormat="false" ht="15" hidden="false" customHeight="false" outlineLevel="0" collapsed="false">
      <c r="A77" s="0" t="s">
        <v>257</v>
      </c>
      <c r="D77" s="32" t="n">
        <f aca="false">-MAX(0,D76)*Inputs!$E$73</f>
        <v>-1164012.35291509</v>
      </c>
      <c r="E77" s="32" t="n">
        <f aca="false">-MAX(0,E76)*Inputs!$E$73</f>
        <v>-1619636.59768485</v>
      </c>
      <c r="F77" s="32" t="n">
        <f aca="false">-MAX(0,F76)*Inputs!$E$73</f>
        <v>-1866516.83222569</v>
      </c>
      <c r="G77" s="32" t="n">
        <f aca="false">-MAX(0,G76)*Inputs!$E$73</f>
        <v>-2126358.39321973</v>
      </c>
      <c r="H77" s="32" t="n">
        <f aca="false">-MAX(0,H76)*Inputs!$E$73</f>
        <v>-2423649.9338743</v>
      </c>
      <c r="I77" s="32" t="n">
        <f aca="false">-MAX(0,I76)*Inputs!$E$73</f>
        <v>-2591229.05631836</v>
      </c>
      <c r="J77" s="32" t="n">
        <f aca="false">-MAX(0,J76)*Inputs!$E$73</f>
        <v>-2607969.46412123</v>
      </c>
    </row>
    <row r="78" customFormat="false" ht="15" hidden="false" customHeight="false" outlineLevel="0" collapsed="false">
      <c r="A78" s="9" t="s">
        <v>89</v>
      </c>
      <c r="D78" s="39" t="n">
        <f aca="false">D76+D77</f>
        <v>4656049.41166037</v>
      </c>
      <c r="E78" s="39" t="n">
        <f aca="false">E76+E77</f>
        <v>6478546.39073941</v>
      </c>
      <c r="F78" s="39" t="n">
        <f aca="false">F76+F77</f>
        <v>7466067.32890277</v>
      </c>
      <c r="G78" s="39" t="n">
        <f aca="false">G76+G77</f>
        <v>8505433.57287892</v>
      </c>
      <c r="H78" s="39" t="n">
        <f aca="false">H76+H77</f>
        <v>9694599.73549721</v>
      </c>
      <c r="I78" s="39" t="n">
        <f aca="false">I76+I77</f>
        <v>10364916.2252734</v>
      </c>
      <c r="J78" s="39" t="n">
        <f aca="false">J76+J77</f>
        <v>10431877.8564849</v>
      </c>
    </row>
    <row r="79" customFormat="false" ht="15" hidden="false" customHeight="false" outlineLevel="0" collapsed="false">
      <c r="A79" s="6" t="s">
        <v>401</v>
      </c>
      <c r="B79" s="7"/>
      <c r="C79" s="7"/>
      <c r="D79" s="7"/>
      <c r="E79" s="7"/>
      <c r="F79" s="7"/>
      <c r="G79" s="7"/>
      <c r="H79" s="7"/>
      <c r="I79" s="7"/>
      <c r="J79" s="7"/>
    </row>
    <row r="80" customFormat="false" ht="15" hidden="false" customHeight="false" outlineLevel="0" collapsed="false">
      <c r="A80" s="0" t="s">
        <v>67</v>
      </c>
      <c r="B80" s="0" t="s">
        <v>390</v>
      </c>
      <c r="D80" s="32" t="n">
        <f aca="false">D15*Inputs!$E$46</f>
        <v>4606362.4416</v>
      </c>
      <c r="E80" s="32" t="n">
        <f aca="false">E15*Inputs!$E$46</f>
        <v>5818268.84465142</v>
      </c>
      <c r="F80" s="32" t="n">
        <f aca="false">F15*Inputs!$E$46</f>
        <v>7431624.3214718</v>
      </c>
      <c r="G80" s="32" t="n">
        <f aca="false">G15*Inputs!$E$46</f>
        <v>9405756.81757604</v>
      </c>
      <c r="H80" s="32" t="n">
        <f aca="false">H15*Inputs!$E$46</f>
        <v>11696547.8912702</v>
      </c>
      <c r="I80" s="32" t="n">
        <f aca="false">I15*Inputs!$E$46</f>
        <v>11700000</v>
      </c>
      <c r="J80" s="32" t="n">
        <f aca="false">J15*Inputs!$E$46</f>
        <v>11700000</v>
      </c>
    </row>
    <row r="81" customFormat="false" ht="15" hidden="false" customHeight="false" outlineLevel="0" collapsed="false">
      <c r="A81" s="0" t="s">
        <v>68</v>
      </c>
      <c r="B81" s="0" t="s">
        <v>390</v>
      </c>
      <c r="D81" s="32" t="n">
        <f aca="false">D16*Inputs!$E$46*0.5</f>
        <v>92127.248832</v>
      </c>
      <c r="E81" s="32" t="n">
        <f aca="false">E16*Inputs!$E$46*0.5</f>
        <v>116365.376893028</v>
      </c>
      <c r="F81" s="32" t="n">
        <f aca="false">F16*Inputs!$E$46*0.5</f>
        <v>148632.486429436</v>
      </c>
      <c r="G81" s="32" t="n">
        <f aca="false">G16*Inputs!$E$46*0.5</f>
        <v>188115.136351521</v>
      </c>
      <c r="H81" s="32" t="n">
        <f aca="false">H16*Inputs!$E$46*0.5</f>
        <v>233930.957825403</v>
      </c>
      <c r="I81" s="32" t="n">
        <f aca="false">I16*Inputs!$E$46*0.5</f>
        <v>234000</v>
      </c>
      <c r="J81" s="32" t="n">
        <f aca="false">J16*Inputs!$E$46*0.5</f>
        <v>234000</v>
      </c>
    </row>
    <row r="82" customFormat="false" ht="15" hidden="false" customHeight="false" outlineLevel="0" collapsed="false">
      <c r="A82" s="0" t="s">
        <v>69</v>
      </c>
      <c r="B82" s="0" t="s">
        <v>390</v>
      </c>
      <c r="D82" s="32" t="n">
        <f aca="false">Inputs!$E$48*Inputs!$E$49*MAX(0,MIN(1,(1*12-Inputs!$E$77)/12))</f>
        <v>45000</v>
      </c>
      <c r="E82" s="32" t="n">
        <f aca="false">Inputs!$E$48*Inputs!$E$49*MAX(0,MIN(1,(2*12-Inputs!$E$77)/12))</f>
        <v>90000</v>
      </c>
      <c r="F82" s="32" t="n">
        <f aca="false">Inputs!$E$48*Inputs!$E$49*MAX(0,MIN(1,(3*12-Inputs!$E$77)/12))</f>
        <v>90000</v>
      </c>
      <c r="G82" s="32" t="n">
        <f aca="false">Inputs!$E$48*Inputs!$E$49*MAX(0,MIN(1,(4*12-Inputs!$E$77)/12))</f>
        <v>90000</v>
      </c>
      <c r="H82" s="32" t="n">
        <f aca="false">Inputs!$E$48*Inputs!$E$49*MAX(0,MIN(1,(5*12-Inputs!$E$77)/12))</f>
        <v>90000</v>
      </c>
      <c r="I82" s="32" t="n">
        <f aca="false">Inputs!$E$48*Inputs!$E$49*MAX(0,MIN(1,(6*12-Inputs!$E$77)/12))</f>
        <v>90000</v>
      </c>
      <c r="J82" s="32" t="n">
        <f aca="false">Inputs!$E$48*Inputs!$E$49*MAX(0,MIN(1,(7*12-Inputs!$E$77)/12))</f>
        <v>90000</v>
      </c>
    </row>
    <row r="83" customFormat="false" ht="15" hidden="false" customHeight="false" outlineLevel="0" collapsed="false">
      <c r="A83" s="0" t="s">
        <v>70</v>
      </c>
      <c r="B83" s="0" t="s">
        <v>390</v>
      </c>
      <c r="D83" s="32" t="n">
        <f aca="false">Inputs!$E$50*Inputs!$E$51</f>
        <v>600000</v>
      </c>
      <c r="E83" s="32" t="n">
        <f aca="false">Inputs!$E$50*Inputs!$E$51</f>
        <v>600000</v>
      </c>
      <c r="F83" s="32" t="n">
        <f aca="false">Inputs!$E$50*Inputs!$E$51</f>
        <v>600000</v>
      </c>
      <c r="G83" s="32" t="n">
        <f aca="false">Inputs!$E$50*Inputs!$E$51</f>
        <v>600000</v>
      </c>
      <c r="H83" s="32" t="n">
        <f aca="false">Inputs!$E$50*Inputs!$E$51</f>
        <v>600000</v>
      </c>
      <c r="I83" s="32" t="n">
        <f aca="false">Inputs!$E$50*Inputs!$E$51</f>
        <v>600000</v>
      </c>
      <c r="J83" s="32" t="n">
        <f aca="false">Inputs!$E$50*Inputs!$E$51</f>
        <v>600000</v>
      </c>
    </row>
    <row r="84" customFormat="false" ht="15" hidden="false" customHeight="false" outlineLevel="0" collapsed="false">
      <c r="A84" s="0" t="s">
        <v>71</v>
      </c>
      <c r="B84" s="0" t="s">
        <v>390</v>
      </c>
      <c r="D84" s="32" t="n">
        <f aca="false">D15*Inputs!$E$52*MAX(0,MIN(1,(1*12-Inputs!$E$79)/12))</f>
        <v>0</v>
      </c>
      <c r="E84" s="32" t="n">
        <f aca="false">E15*Inputs!$E$52*MAX(0,MIN(1,(2*12-Inputs!$E$79)/12))</f>
        <v>232730.753786057</v>
      </c>
      <c r="F84" s="32" t="n">
        <f aca="false">F15*Inputs!$E$52*MAX(0,MIN(1,(3*12-Inputs!$E$79)/12))</f>
        <v>594529.945717744</v>
      </c>
      <c r="G84" s="32" t="n">
        <f aca="false">G15*Inputs!$E$52*MAX(0,MIN(1,(4*12-Inputs!$E$79)/12))</f>
        <v>752460.545406083</v>
      </c>
      <c r="H84" s="32" t="n">
        <f aca="false">H15*Inputs!$E$52*MAX(0,MIN(1,(5*12-Inputs!$E$79)/12))</f>
        <v>935723.831301613</v>
      </c>
      <c r="I84" s="32" t="n">
        <f aca="false">I15*Inputs!$E$52*MAX(0,MIN(1,(6*12-Inputs!$E$79)/12))</f>
        <v>936000</v>
      </c>
      <c r="J84" s="32" t="n">
        <f aca="false">J15*Inputs!$E$52*MAX(0,MIN(1,(7*12-Inputs!$E$79)/12))</f>
        <v>936000</v>
      </c>
    </row>
    <row r="85" customFormat="false" ht="15" hidden="false" customHeight="false" outlineLevel="0" collapsed="false">
      <c r="A85" s="0" t="s">
        <v>72</v>
      </c>
      <c r="B85" s="0" t="s">
        <v>390</v>
      </c>
      <c r="D85" s="40" t="n">
        <f aca="false">0</f>
        <v>0</v>
      </c>
      <c r="E85" s="40" t="n">
        <f aca="false">Inputs!$E$53</f>
        <v>500000</v>
      </c>
      <c r="F85" s="40" t="n">
        <f aca="false">Inputs!$E$53</f>
        <v>500000</v>
      </c>
      <c r="G85" s="40" t="n">
        <f aca="false">Inputs!$E$53</f>
        <v>500000</v>
      </c>
      <c r="H85" s="40" t="n">
        <f aca="false">Inputs!$E$53</f>
        <v>500000</v>
      </c>
      <c r="I85" s="40" t="n">
        <f aca="false">Inputs!$E$53</f>
        <v>500000</v>
      </c>
      <c r="J85" s="40" t="n">
        <f aca="false">Inputs!$E$53</f>
        <v>500000</v>
      </c>
    </row>
    <row r="86" customFormat="false" ht="15" hidden="false" customHeight="false" outlineLevel="0" collapsed="false">
      <c r="A86" s="0" t="s">
        <v>73</v>
      </c>
      <c r="B86" s="0" t="s">
        <v>390</v>
      </c>
      <c r="D86" s="40" t="n">
        <f aca="false">Inputs!$E$57*D15*Inputs!$E$58*Inputs!$E$59*MAX(0,MIN(1,(1*12-Inputs!$E$80)/12))</f>
        <v>414572.619744</v>
      </c>
      <c r="E86" s="40" t="n">
        <f aca="false">Inputs!$E$57*E15*Inputs!$E$58*Inputs!$E$59*MAX(0,MIN(1,(2*12-Inputs!$E$80)/12))</f>
        <v>698192.26135817</v>
      </c>
      <c r="F86" s="40" t="n">
        <f aca="false">Inputs!$E$57*F15*Inputs!$E$58*Inputs!$E$59*MAX(0,MIN(1,(3*12-Inputs!$E$80)/12))</f>
        <v>891794.918576616</v>
      </c>
      <c r="G86" s="40" t="n">
        <f aca="false">Inputs!$E$57*G15*Inputs!$E$58*Inputs!$E$59*MAX(0,MIN(1,(4*12-Inputs!$E$80)/12))</f>
        <v>1128690.81810912</v>
      </c>
      <c r="H86" s="40" t="n">
        <f aca="false">Inputs!$E$57*H15*Inputs!$E$58*Inputs!$E$59*MAX(0,MIN(1,(5*12-Inputs!$E$80)/12))</f>
        <v>1403585.74695242</v>
      </c>
      <c r="I86" s="40" t="n">
        <f aca="false">Inputs!$E$57*I15*Inputs!$E$58*Inputs!$E$59*MAX(0,MIN(1,(6*12-Inputs!$E$80)/12))</f>
        <v>1404000</v>
      </c>
      <c r="J86" s="40" t="n">
        <f aca="false">Inputs!$E$57*J15*Inputs!$E$58*Inputs!$E$59*MAX(0,MIN(1,(7*12-Inputs!$E$80)/12))</f>
        <v>1404000</v>
      </c>
    </row>
    <row r="87" customFormat="false" ht="15" hidden="false" customHeight="false" outlineLevel="0" collapsed="false">
      <c r="A87" s="9" t="s">
        <v>74</v>
      </c>
      <c r="D87" s="34" t="n">
        <f aca="false">SUM(D80:D86)</f>
        <v>5758062.310176</v>
      </c>
      <c r="E87" s="34" t="n">
        <f aca="false">SUM(E80:E86)</f>
        <v>8055557.23668867</v>
      </c>
      <c r="F87" s="34" t="n">
        <f aca="false">SUM(F80:F86)</f>
        <v>10256581.6721956</v>
      </c>
      <c r="G87" s="34" t="n">
        <f aca="false">SUM(G80:G86)</f>
        <v>12665023.3174428</v>
      </c>
      <c r="H87" s="34" t="n">
        <f aca="false">SUM(H80:H86)</f>
        <v>15459788.4273496</v>
      </c>
      <c r="I87" s="34" t="n">
        <f aca="false">SUM(I80:I86)</f>
        <v>15464000</v>
      </c>
      <c r="J87" s="34" t="n">
        <f aca="false">SUM(J80:J86)</f>
        <v>15464000</v>
      </c>
    </row>
    <row r="88" customFormat="false" ht="15" hidden="false" customHeight="false" outlineLevel="0" collapsed="false">
      <c r="A88" s="0" t="s">
        <v>402</v>
      </c>
      <c r="D88" s="32" t="n">
        <f aca="false">-D15*Inputs!$E$97</f>
        <v>-921272.48832</v>
      </c>
      <c r="E88" s="32" t="n">
        <f aca="false">-E15*Inputs!$E$97</f>
        <v>-1163653.76893028</v>
      </c>
      <c r="F88" s="32" t="n">
        <f aca="false">-F15*Inputs!$E$97</f>
        <v>-1486324.86429436</v>
      </c>
      <c r="G88" s="32" t="n">
        <f aca="false">-G15*Inputs!$E$97</f>
        <v>-1881151.36351521</v>
      </c>
      <c r="H88" s="32" t="n">
        <f aca="false">-H15*Inputs!$E$97</f>
        <v>-2339309.57825403</v>
      </c>
      <c r="I88" s="32" t="n">
        <f aca="false">-I15*Inputs!$E$97</f>
        <v>-2340000</v>
      </c>
      <c r="J88" s="32" t="n">
        <f aca="false">-J15*Inputs!$E$97</f>
        <v>-2340000</v>
      </c>
    </row>
    <row r="89" customFormat="false" ht="15" hidden="false" customHeight="false" outlineLevel="0" collapsed="false">
      <c r="A89" s="0" t="s">
        <v>403</v>
      </c>
      <c r="D89" s="32" t="n">
        <f aca="false">-Inputs!$E$98</f>
        <v>-900000</v>
      </c>
      <c r="E89" s="32" t="n">
        <f aca="false">-Inputs!$E$98</f>
        <v>-900000</v>
      </c>
      <c r="F89" s="32" t="n">
        <f aca="false">-Inputs!$E$98</f>
        <v>-900000</v>
      </c>
      <c r="G89" s="32" t="n">
        <f aca="false">-Inputs!$E$98</f>
        <v>-900000</v>
      </c>
      <c r="H89" s="32" t="n">
        <f aca="false">-Inputs!$E$98</f>
        <v>-900000</v>
      </c>
      <c r="I89" s="32" t="n">
        <f aca="false">-Inputs!$E$98</f>
        <v>-900000</v>
      </c>
      <c r="J89" s="32" t="n">
        <f aca="false">-Inputs!$E$98</f>
        <v>-900000</v>
      </c>
    </row>
    <row r="90" customFormat="false" ht="15" hidden="false" customHeight="false" outlineLevel="0" collapsed="false">
      <c r="A90" s="0" t="s">
        <v>289</v>
      </c>
      <c r="D90" s="32" t="n">
        <f aca="false">-Inputs!$E$99</f>
        <v>-40000</v>
      </c>
      <c r="E90" s="32" t="n">
        <f aca="false">-Inputs!$E$99</f>
        <v>-40000</v>
      </c>
      <c r="F90" s="32" t="n">
        <f aca="false">-Inputs!$E$99</f>
        <v>-40000</v>
      </c>
      <c r="G90" s="32" t="n">
        <f aca="false">-Inputs!$E$99</f>
        <v>-40000</v>
      </c>
      <c r="H90" s="32" t="n">
        <f aca="false">-Inputs!$E$99</f>
        <v>-40000</v>
      </c>
      <c r="I90" s="32" t="n">
        <f aca="false">-Inputs!$E$99</f>
        <v>-40000</v>
      </c>
      <c r="J90" s="32" t="n">
        <f aca="false">-Inputs!$E$99</f>
        <v>-40000</v>
      </c>
    </row>
    <row r="91" customFormat="false" ht="15" hidden="false" customHeight="false" outlineLevel="0" collapsed="false">
      <c r="A91" s="0" t="s">
        <v>290</v>
      </c>
      <c r="D91" s="32" t="n">
        <f aca="false">-D87*Inputs!$E$100</f>
        <v>-143951.5577544</v>
      </c>
      <c r="E91" s="32" t="n">
        <f aca="false">-E87*Inputs!$E$100</f>
        <v>-201388.930917217</v>
      </c>
      <c r="F91" s="32" t="n">
        <f aca="false">-F87*Inputs!$E$100</f>
        <v>-256414.54180489</v>
      </c>
      <c r="G91" s="32" t="n">
        <f aca="false">-G87*Inputs!$E$100</f>
        <v>-316625.582936069</v>
      </c>
      <c r="H91" s="32" t="n">
        <f aca="false">-H87*Inputs!$E$100</f>
        <v>-386494.71068374</v>
      </c>
      <c r="I91" s="32" t="n">
        <f aca="false">-I87*Inputs!$E$100</f>
        <v>-386600</v>
      </c>
      <c r="J91" s="32" t="n">
        <f aca="false">-J87*Inputs!$E$100</f>
        <v>-386600</v>
      </c>
    </row>
    <row r="92" customFormat="false" ht="15" hidden="false" customHeight="false" outlineLevel="0" collapsed="false">
      <c r="A92" s="9" t="s">
        <v>404</v>
      </c>
      <c r="D92" s="39" t="n">
        <f aca="false">D87+SUM(D88:D91)</f>
        <v>3752838.2641016</v>
      </c>
      <c r="E92" s="39" t="n">
        <f aca="false">E87+SUM(E88:E91)</f>
        <v>5750514.53684117</v>
      </c>
      <c r="F92" s="39" t="n">
        <f aca="false">F87+SUM(F88:F91)</f>
        <v>7573842.26609635</v>
      </c>
      <c r="G92" s="39" t="n">
        <f aca="false">G87+SUM(G88:G91)</f>
        <v>9527246.37099149</v>
      </c>
      <c r="H92" s="39" t="n">
        <f aca="false">H87+SUM(H88:H91)</f>
        <v>11793984.1384118</v>
      </c>
      <c r="I92" s="39" t="n">
        <f aca="false">I87+SUM(I88:I91)</f>
        <v>11797400</v>
      </c>
      <c r="J92" s="39" t="n">
        <f aca="false">J87+SUM(J88:J91)</f>
        <v>11797400</v>
      </c>
    </row>
    <row r="93" customFormat="false" ht="15" hidden="false" customHeight="false" outlineLevel="0" collapsed="false">
      <c r="A93" s="6" t="s">
        <v>405</v>
      </c>
      <c r="B93" s="7"/>
      <c r="C93" s="7"/>
      <c r="D93" s="7"/>
      <c r="E93" s="7"/>
      <c r="F93" s="7"/>
      <c r="G93" s="7"/>
      <c r="H93" s="7"/>
      <c r="I93" s="7"/>
      <c r="J93" s="7"/>
    </row>
    <row r="94" customFormat="false" ht="15" hidden="false" customHeight="false" outlineLevel="0" collapsed="false">
      <c r="A94" s="0" t="s">
        <v>76</v>
      </c>
      <c r="B94" s="0" t="s">
        <v>388</v>
      </c>
      <c r="D94" s="32" t="n">
        <f aca="false">Inputs!$E$68*Inputs!$E$69</f>
        <v>189000</v>
      </c>
      <c r="E94" s="32" t="n">
        <f aca="false">Inputs!$E$68*Inputs!$E$69</f>
        <v>189000</v>
      </c>
      <c r="F94" s="32" t="n">
        <f aca="false">Inputs!$E$68*Inputs!$E$69</f>
        <v>189000</v>
      </c>
      <c r="G94" s="32" t="n">
        <f aca="false">Inputs!$E$68*Inputs!$E$69</f>
        <v>189000</v>
      </c>
      <c r="H94" s="32" t="n">
        <f aca="false">Inputs!$E$68*Inputs!$E$69</f>
        <v>189000</v>
      </c>
      <c r="I94" s="32" t="n">
        <f aca="false">Inputs!$E$68*Inputs!$E$69</f>
        <v>189000</v>
      </c>
      <c r="J94" s="32" t="n">
        <f aca="false">Inputs!$E$68*Inputs!$E$69</f>
        <v>189000</v>
      </c>
    </row>
    <row r="95" customFormat="false" ht="15" hidden="false" customHeight="false" outlineLevel="0" collapsed="false">
      <c r="A95" s="0" t="s">
        <v>77</v>
      </c>
      <c r="B95" s="0" t="s">
        <v>388</v>
      </c>
      <c r="D95" s="40" t="n">
        <f aca="false">Inputs!$E$70</f>
        <v>288000</v>
      </c>
      <c r="E95" s="40" t="n">
        <f aca="false">Inputs!$E$70</f>
        <v>288000</v>
      </c>
      <c r="F95" s="40" t="n">
        <f aca="false">Inputs!$E$70</f>
        <v>288000</v>
      </c>
      <c r="G95" s="40" t="n">
        <f aca="false">Inputs!$E$70</f>
        <v>288000</v>
      </c>
      <c r="H95" s="40" t="n">
        <f aca="false">Inputs!$E$70</f>
        <v>288000</v>
      </c>
      <c r="I95" s="40" t="n">
        <f aca="false">Inputs!$E$70</f>
        <v>288000</v>
      </c>
      <c r="J95" s="40" t="n">
        <f aca="false">Inputs!$E$70</f>
        <v>288000</v>
      </c>
    </row>
    <row r="96" customFormat="false" ht="15" hidden="false" customHeight="false" outlineLevel="0" collapsed="false">
      <c r="A96" s="0" t="s">
        <v>78</v>
      </c>
      <c r="B96" s="0" t="s">
        <v>388</v>
      </c>
      <c r="D96" s="32" t="n">
        <f aca="false">Inputs!$E$71</f>
        <v>108000</v>
      </c>
      <c r="E96" s="32" t="n">
        <f aca="false">Inputs!$E$71</f>
        <v>108000</v>
      </c>
      <c r="F96" s="32" t="n">
        <f aca="false">Inputs!$E$71</f>
        <v>108000</v>
      </c>
      <c r="G96" s="32" t="n">
        <f aca="false">Inputs!$E$71</f>
        <v>108000</v>
      </c>
      <c r="H96" s="32" t="n">
        <f aca="false">Inputs!$E$71</f>
        <v>108000</v>
      </c>
      <c r="I96" s="32" t="n">
        <f aca="false">Inputs!$E$71</f>
        <v>108000</v>
      </c>
      <c r="J96" s="32" t="n">
        <f aca="false">Inputs!$E$71</f>
        <v>108000</v>
      </c>
    </row>
    <row r="97" customFormat="false" ht="15" hidden="false" customHeight="false" outlineLevel="0" collapsed="false">
      <c r="A97" s="0" t="s">
        <v>79</v>
      </c>
      <c r="B97" s="0" t="s">
        <v>388</v>
      </c>
      <c r="D97" s="40" t="n">
        <f aca="false">Inputs!$E$72</f>
        <v>30000</v>
      </c>
      <c r="E97" s="40" t="n">
        <f aca="false">Inputs!$E$72</f>
        <v>30000</v>
      </c>
      <c r="F97" s="40" t="n">
        <f aca="false">Inputs!$E$72</f>
        <v>30000</v>
      </c>
      <c r="G97" s="40" t="n">
        <f aca="false">Inputs!$E$72</f>
        <v>30000</v>
      </c>
      <c r="H97" s="40" t="n">
        <f aca="false">Inputs!$E$72</f>
        <v>30000</v>
      </c>
      <c r="I97" s="40" t="n">
        <f aca="false">Inputs!$E$72</f>
        <v>30000</v>
      </c>
      <c r="J97" s="40" t="n">
        <f aca="false">Inputs!$E$72</f>
        <v>30000</v>
      </c>
    </row>
    <row r="98" customFormat="false" ht="15" hidden="false" customHeight="false" outlineLevel="0" collapsed="false">
      <c r="A98" s="0" t="s">
        <v>80</v>
      </c>
      <c r="B98" s="0" t="s">
        <v>388</v>
      </c>
      <c r="D98" s="40" t="n">
        <f aca="false">Inputs!$E$57*Inputs!$E$63*MAX(0,MIN(1,(1*12-Inputs!$E$80)/12))</f>
        <v>90000</v>
      </c>
      <c r="E98" s="40" t="n">
        <f aca="false">Inputs!$E$57*Inputs!$E$63*MAX(0,MIN(1,(2*12-Inputs!$E$80)/12))</f>
        <v>120000</v>
      </c>
      <c r="F98" s="40" t="n">
        <f aca="false">Inputs!$E$57*Inputs!$E$63*MAX(0,MIN(1,(3*12-Inputs!$E$80)/12))</f>
        <v>120000</v>
      </c>
      <c r="G98" s="40" t="n">
        <f aca="false">Inputs!$E$57*Inputs!$E$63*MAX(0,MIN(1,(4*12-Inputs!$E$80)/12))</f>
        <v>120000</v>
      </c>
      <c r="H98" s="40" t="n">
        <f aca="false">Inputs!$E$57*Inputs!$E$63*MAX(0,MIN(1,(5*12-Inputs!$E$80)/12))</f>
        <v>120000</v>
      </c>
      <c r="I98" s="40" t="n">
        <f aca="false">Inputs!$E$57*Inputs!$E$63*MAX(0,MIN(1,(6*12-Inputs!$E$80)/12))</f>
        <v>120000</v>
      </c>
      <c r="J98" s="40" t="n">
        <f aca="false">Inputs!$E$57*Inputs!$E$63*MAX(0,MIN(1,(7*12-Inputs!$E$80)/12))</f>
        <v>120000</v>
      </c>
    </row>
    <row r="99" customFormat="false" ht="15" hidden="false" customHeight="false" outlineLevel="0" collapsed="false">
      <c r="A99" s="9" t="s">
        <v>81</v>
      </c>
      <c r="D99" s="34" t="n">
        <f aca="false">SUM(D94:D98)</f>
        <v>705000</v>
      </c>
      <c r="E99" s="34" t="n">
        <f aca="false">SUM(E94:E98)</f>
        <v>735000</v>
      </c>
      <c r="F99" s="34" t="n">
        <f aca="false">SUM(F94:F98)</f>
        <v>735000</v>
      </c>
      <c r="G99" s="34" t="n">
        <f aca="false">SUM(G94:G98)</f>
        <v>735000</v>
      </c>
      <c r="H99" s="34" t="n">
        <f aca="false">SUM(H94:H98)</f>
        <v>735000</v>
      </c>
      <c r="I99" s="34" t="n">
        <f aca="false">SUM(I94:I98)</f>
        <v>735000</v>
      </c>
      <c r="J99" s="34" t="n">
        <f aca="false">SUM(J94:J98)</f>
        <v>735000</v>
      </c>
    </row>
    <row r="100" customFormat="false" ht="15" hidden="false" customHeight="false" outlineLevel="0" collapsed="false">
      <c r="A100" s="0" t="s">
        <v>406</v>
      </c>
      <c r="D100" s="32" t="n">
        <f aca="false">-D77</f>
        <v>1164012.35291509</v>
      </c>
      <c r="E100" s="32" t="n">
        <f aca="false">-E77</f>
        <v>1619636.59768485</v>
      </c>
      <c r="F100" s="32" t="n">
        <f aca="false">-F77</f>
        <v>1866516.83222569</v>
      </c>
      <c r="G100" s="32" t="n">
        <f aca="false">-G77</f>
        <v>2126358.39321973</v>
      </c>
      <c r="H100" s="32" t="n">
        <f aca="false">-H77</f>
        <v>2423649.9338743</v>
      </c>
      <c r="I100" s="32" t="n">
        <f aca="false">-I77</f>
        <v>2591229.05631836</v>
      </c>
      <c r="J100" s="32" t="n">
        <f aca="false">-J77</f>
        <v>2607969.46412123</v>
      </c>
    </row>
    <row r="101" customFormat="false" ht="15" hidden="false" customHeight="false" outlineLevel="0" collapsed="false">
      <c r="A101" s="0" t="s">
        <v>407</v>
      </c>
      <c r="D101" s="32" t="n">
        <f aca="false">-Inputs!$E$108*Inputs!$E$101</f>
        <v>-24000</v>
      </c>
      <c r="E101" s="32" t="n">
        <f aca="false">-Inputs!$E$108*Inputs!$E$101</f>
        <v>-24000</v>
      </c>
      <c r="F101" s="32" t="n">
        <f aca="false">-Inputs!$E$108*Inputs!$E$101</f>
        <v>-24000</v>
      </c>
      <c r="G101" s="32" t="n">
        <f aca="false">-Inputs!$E$108*Inputs!$E$101</f>
        <v>-24000</v>
      </c>
      <c r="H101" s="32" t="n">
        <f aca="false">-Inputs!$E$108*Inputs!$E$101</f>
        <v>-24000</v>
      </c>
      <c r="I101" s="32" t="n">
        <f aca="false">-Inputs!$E$108*Inputs!$E$101</f>
        <v>-24000</v>
      </c>
      <c r="J101" s="32" t="n">
        <f aca="false">-Inputs!$E$108*Inputs!$E$101</f>
        <v>-24000</v>
      </c>
    </row>
    <row r="102" customFormat="false" ht="15" hidden="false" customHeight="false" outlineLevel="0" collapsed="false">
      <c r="A102" s="0" t="s">
        <v>408</v>
      </c>
      <c r="D102" s="32" t="n">
        <f aca="false">-Inputs!$E$102</f>
        <v>-160000</v>
      </c>
      <c r="E102" s="32" t="n">
        <f aca="false">-Inputs!$E$102</f>
        <v>-160000</v>
      </c>
      <c r="F102" s="32" t="n">
        <f aca="false">-Inputs!$E$102</f>
        <v>-160000</v>
      </c>
      <c r="G102" s="32" t="n">
        <f aca="false">-Inputs!$E$102</f>
        <v>-160000</v>
      </c>
      <c r="H102" s="32" t="n">
        <f aca="false">-Inputs!$E$102</f>
        <v>-160000</v>
      </c>
      <c r="I102" s="32" t="n">
        <f aca="false">-Inputs!$E$102</f>
        <v>-160000</v>
      </c>
      <c r="J102" s="32" t="n">
        <f aca="false">-Inputs!$E$102</f>
        <v>-160000</v>
      </c>
    </row>
    <row r="103" customFormat="false" ht="15" hidden="false" customHeight="false" outlineLevel="0" collapsed="false">
      <c r="A103" s="0" t="s">
        <v>295</v>
      </c>
      <c r="D103" s="32" t="n">
        <f aca="false">-D99*Inputs!$E$103</f>
        <v>-21150</v>
      </c>
      <c r="E103" s="32" t="n">
        <f aca="false">-E99*Inputs!$E$103</f>
        <v>-22050</v>
      </c>
      <c r="F103" s="32" t="n">
        <f aca="false">-F99*Inputs!$E$103</f>
        <v>-22050</v>
      </c>
      <c r="G103" s="32" t="n">
        <f aca="false">-G99*Inputs!$E$103</f>
        <v>-22050</v>
      </c>
      <c r="H103" s="32" t="n">
        <f aca="false">-H99*Inputs!$E$103</f>
        <v>-22050</v>
      </c>
      <c r="I103" s="32" t="n">
        <f aca="false">-I99*Inputs!$E$103</f>
        <v>-22050</v>
      </c>
      <c r="J103" s="32" t="n">
        <f aca="false">-J99*Inputs!$E$103</f>
        <v>-22050</v>
      </c>
    </row>
    <row r="104" customFormat="false" ht="15" hidden="false" customHeight="false" outlineLevel="0" collapsed="false">
      <c r="A104" s="9" t="s">
        <v>91</v>
      </c>
      <c r="D104" s="39" t="n">
        <f aca="false">D99+D100+D101+D102+D103</f>
        <v>1663862.35291509</v>
      </c>
      <c r="E104" s="39" t="n">
        <f aca="false">E99+E100+E101+E102+E103</f>
        <v>2148586.59768485</v>
      </c>
      <c r="F104" s="39" t="n">
        <f aca="false">F99+F100+F101+F102+F103</f>
        <v>2395466.83222569</v>
      </c>
      <c r="G104" s="39" t="n">
        <f aca="false">G99+G100+G101+G102+G103</f>
        <v>2655308.39321973</v>
      </c>
      <c r="H104" s="39" t="n">
        <f aca="false">H99+H100+H101+H102+H103</f>
        <v>2952599.9338743</v>
      </c>
      <c r="I104" s="39" t="n">
        <f aca="false">I99+I100+I101+I102+I103</f>
        <v>3120179.05631836</v>
      </c>
      <c r="J104" s="39" t="n">
        <f aca="false">J99+J100+J101+J102+J103</f>
        <v>3136919.46412123</v>
      </c>
    </row>
    <row r="105" customFormat="false" ht="15" hidden="false" customHeight="false" outlineLevel="0" collapsed="false">
      <c r="A105" s="6" t="s">
        <v>409</v>
      </c>
      <c r="B105" s="7"/>
      <c r="C105" s="7"/>
      <c r="D105" s="7"/>
      <c r="E105" s="7"/>
      <c r="F105" s="7"/>
      <c r="G105" s="7"/>
      <c r="H105" s="7"/>
      <c r="I105" s="7"/>
      <c r="J105" s="7"/>
    </row>
    <row r="106" customFormat="false" ht="15" hidden="false" customHeight="false" outlineLevel="0" collapsed="false">
      <c r="A106" s="9" t="s">
        <v>83</v>
      </c>
      <c r="D106" s="34" t="n">
        <f aca="false">D62+D87+D99</f>
        <v>19927665.5349091</v>
      </c>
      <c r="E106" s="34" t="n">
        <f aca="false">E62+E87+E99</f>
        <v>25605664.4017247</v>
      </c>
      <c r="F106" s="34" t="n">
        <f aca="false">F62+F87+F99</f>
        <v>29814341.0872147</v>
      </c>
      <c r="G106" s="34" t="n">
        <f aca="false">G62+G87+G99</f>
        <v>34283007.1650143</v>
      </c>
      <c r="H106" s="34" t="n">
        <f aca="false">H62+H87+H99</f>
        <v>39318001.5682735</v>
      </c>
      <c r="I106" s="34" t="n">
        <f aca="false">I62+I87+I99</f>
        <v>40827843.9581124</v>
      </c>
      <c r="J106" s="34" t="n">
        <f aca="false">J62+J87+J99</f>
        <v>40978543.1541247</v>
      </c>
    </row>
    <row r="107" customFormat="false" ht="15" hidden="false" customHeight="false" outlineLevel="0" collapsed="false">
      <c r="A107" s="0" t="s">
        <v>410</v>
      </c>
      <c r="B107" s="0" t="s">
        <v>388</v>
      </c>
      <c r="D107" s="32" t="n">
        <f aca="false">D51+D99</f>
        <v>10830704.20019</v>
      </c>
      <c r="E107" s="32" t="n">
        <f aca="false">E51+E99</f>
        <v>11734012.3798007</v>
      </c>
      <c r="F107" s="32" t="n">
        <f aca="false">F51+F99</f>
        <v>12002292.842041</v>
      </c>
      <c r="G107" s="32" t="n">
        <f aca="false">G51+G99</f>
        <v>12238988.7801377</v>
      </c>
      <c r="H107" s="32" t="n">
        <f aca="false">H51+H99</f>
        <v>12599660.7652045</v>
      </c>
      <c r="I107" s="32" t="n">
        <f aca="false">I51+I99</f>
        <v>12943215.1260753</v>
      </c>
      <c r="J107" s="32" t="n">
        <f aca="false">J51+J99</f>
        <v>12977704.1129034</v>
      </c>
    </row>
    <row r="108" customFormat="false" ht="15" hidden="false" customHeight="false" outlineLevel="0" collapsed="false">
      <c r="A108" s="0" t="s">
        <v>411</v>
      </c>
      <c r="B108" s="0" t="s">
        <v>390</v>
      </c>
      <c r="D108" s="32" t="n">
        <f aca="false">D61+D87</f>
        <v>9096961.33471908</v>
      </c>
      <c r="E108" s="32" t="n">
        <f aca="false">E61+E87</f>
        <v>13871652.021924</v>
      </c>
      <c r="F108" s="32" t="n">
        <f aca="false">F61+F87</f>
        <v>17812048.2451737</v>
      </c>
      <c r="G108" s="32" t="n">
        <f aca="false">G61+G87</f>
        <v>22044018.3848766</v>
      </c>
      <c r="H108" s="32" t="n">
        <f aca="false">H61+H87</f>
        <v>26718340.803069</v>
      </c>
      <c r="I108" s="32" t="n">
        <f aca="false">I61+I87</f>
        <v>27884628.832037</v>
      </c>
      <c r="J108" s="32" t="n">
        <f aca="false">J61+J87</f>
        <v>28000839.0412213</v>
      </c>
    </row>
    <row r="109" customFormat="false" ht="15" hidden="false" customHeight="false" outlineLevel="0" collapsed="false">
      <c r="A109" s="0" t="s">
        <v>412</v>
      </c>
      <c r="D109" s="36" t="n">
        <f aca="false">IF(D106&gt;0,D108/D106,0)</f>
        <v>0.456499097638061</v>
      </c>
      <c r="E109" s="36" t="n">
        <f aca="false">IF(E106&gt;0,E108/E106,0)</f>
        <v>0.541741538289851</v>
      </c>
      <c r="F109" s="36" t="n">
        <f aca="false">IF(F106&gt;0,F108/F106,0)</f>
        <v>0.597432228774362</v>
      </c>
      <c r="G109" s="36" t="n">
        <f aca="false">IF(G106&gt;0,G108/G106,0)</f>
        <v>0.643001306121491</v>
      </c>
      <c r="H109" s="36" t="n">
        <f aca="false">IF(H106&gt;0,H108/H106,0)</f>
        <v>0.679544731099166</v>
      </c>
      <c r="I109" s="36" t="n">
        <f aca="false">IF(I106&gt;0,I108/I106,0)</f>
        <v>0.682980684962093</v>
      </c>
      <c r="J109" s="36" t="n">
        <f aca="false">IF(J106&gt;0,J108/J106,0)</f>
        <v>0.683304892902296</v>
      </c>
    </row>
    <row r="110" customFormat="false" ht="15" hidden="false" customHeight="false" outlineLevel="0" collapsed="false">
      <c r="A110" s="9" t="s">
        <v>92</v>
      </c>
      <c r="D110" s="39" t="n">
        <f aca="false">D78+D92+D104</f>
        <v>10072750.0286771</v>
      </c>
      <c r="E110" s="39" t="n">
        <f aca="false">E78+E92+E104</f>
        <v>14377647.5252654</v>
      </c>
      <c r="F110" s="39" t="n">
        <f aca="false">F78+F92+F104</f>
        <v>17435376.4272248</v>
      </c>
      <c r="G110" s="39" t="n">
        <f aca="false">G78+G92+G104</f>
        <v>20687988.3370901</v>
      </c>
      <c r="H110" s="39" t="n">
        <f aca="false">H78+H92+H104</f>
        <v>24441183.8077833</v>
      </c>
      <c r="I110" s="39" t="n">
        <f aca="false">I78+I92+I104</f>
        <v>25282495.2815918</v>
      </c>
      <c r="J110" s="39" t="n">
        <f aca="false">J78+J92+J104</f>
        <v>25366197.3206061</v>
      </c>
    </row>
    <row r="111" customFormat="false" ht="15" hidden="false" customHeight="false" outlineLevel="0" collapsed="false">
      <c r="A111" s="0" t="s">
        <v>93</v>
      </c>
      <c r="D111" s="36" t="n">
        <f aca="false">IF(D106&gt;0,D110/D106,0)</f>
        <v>0.505465630734906</v>
      </c>
      <c r="E111" s="36" t="n">
        <f aca="false">IF(E106&gt;0,E110/E106,0)</f>
        <v>0.561502615190764</v>
      </c>
      <c r="F111" s="36" t="n">
        <f aca="false">IF(F106&gt;0,F110/F106,0)</f>
        <v>0.584798314885504</v>
      </c>
      <c r="G111" s="36" t="n">
        <f aca="false">IF(G106&gt;0,G110/G106,0)</f>
        <v>0.603447306635405</v>
      </c>
      <c r="H111" s="36" t="n">
        <f aca="false">IF(H106&gt;0,H110/H106,0)</f>
        <v>0.621628333915766</v>
      </c>
      <c r="I111" s="36" t="n">
        <f aca="false">IF(I106&gt;0,I110/I106,0)</f>
        <v>0.619246397324594</v>
      </c>
      <c r="J111" s="36" t="n">
        <f aca="false">IF(J106&gt;0,J110/J106,0)</f>
        <v>0.619011691684626</v>
      </c>
    </row>
    <row r="112" customFormat="false" ht="15" hidden="false" customHeight="false" outlineLevel="0" collapsed="false">
      <c r="A112" s="0" t="s">
        <v>413</v>
      </c>
      <c r="D112" s="32" t="n">
        <f aca="false">IF(D15&gt;0,D106/D15,0)</f>
        <v>1297.8352737689</v>
      </c>
      <c r="E112" s="32" t="n">
        <f aca="false">IF(E15&gt;0,E106/E15,0)</f>
        <v>1320.27232251033</v>
      </c>
      <c r="F112" s="32" t="n">
        <f aca="false">IF(F15&gt;0,F106/F15,0)</f>
        <v>1203.54608081064</v>
      </c>
      <c r="G112" s="32" t="n">
        <f aca="false">IF(G15&gt;0,G106/G15,0)</f>
        <v>1093.46885625253</v>
      </c>
      <c r="H112" s="32" t="n">
        <f aca="false">IF(H15&gt;0,H106/H15,0)</f>
        <v>1008.45143200633</v>
      </c>
      <c r="I112" s="32" t="n">
        <f aca="false">IF(I15&gt;0,I106/I15,0)</f>
        <v>1046.86779379775</v>
      </c>
      <c r="J112" s="32" t="n">
        <f aca="false">IF(J15&gt;0,J106/J15,0)</f>
        <v>1050.73187574679</v>
      </c>
    </row>
    <row r="113" customFormat="false" ht="15" hidden="false" customHeight="false" outlineLevel="0" collapsed="false">
      <c r="A113" s="0" t="s">
        <v>414</v>
      </c>
      <c r="D113" s="41" t="n">
        <f aca="false">D106/Inputs!$E$6</f>
        <v>199.276655349091</v>
      </c>
      <c r="E113" s="41" t="n">
        <f aca="false">E106/Inputs!$E$6</f>
        <v>256.056644017247</v>
      </c>
      <c r="F113" s="41" t="n">
        <f aca="false">F106/Inputs!$E$6</f>
        <v>298.143410872147</v>
      </c>
      <c r="G113" s="41" t="n">
        <f aca="false">G106/Inputs!$E$6</f>
        <v>342.830071650143</v>
      </c>
      <c r="H113" s="41" t="n">
        <f aca="false">H106/Inputs!$E$6</f>
        <v>393.180015682735</v>
      </c>
      <c r="I113" s="41" t="n">
        <f aca="false">I106/Inputs!$E$6</f>
        <v>408.278439581124</v>
      </c>
      <c r="J113" s="41" t="n">
        <f aca="false">J106/Inputs!$E$6</f>
        <v>409.785431541247</v>
      </c>
    </row>
    <row r="114" customFormat="false" ht="15" hidden="false" customHeight="false" outlineLevel="0" collapsed="false">
      <c r="A114" s="6" t="s">
        <v>415</v>
      </c>
      <c r="B114" s="7"/>
      <c r="C114" s="7"/>
      <c r="D114" s="7"/>
      <c r="E114" s="7"/>
      <c r="F114" s="7"/>
      <c r="G114" s="7"/>
      <c r="H114" s="7"/>
      <c r="I114" s="7"/>
      <c r="J114" s="7"/>
    </row>
    <row r="115" customFormat="false" ht="15" hidden="false" customHeight="false" outlineLevel="0" collapsed="false">
      <c r="A115" s="0" t="s">
        <v>96</v>
      </c>
      <c r="C115" s="32" t="n">
        <f aca="false">-Inputs!$E$106</f>
        <v>-5200000</v>
      </c>
      <c r="D115" s="32" t="n">
        <f aca="false">0</f>
        <v>0</v>
      </c>
      <c r="E115" s="32" t="n">
        <f aca="false">0</f>
        <v>0</v>
      </c>
      <c r="F115" s="32" t="n">
        <f aca="false">0</f>
        <v>0</v>
      </c>
      <c r="G115" s="32" t="n">
        <f aca="false">0</f>
        <v>0</v>
      </c>
      <c r="H115" s="32" t="n">
        <f aca="false">0</f>
        <v>0</v>
      </c>
      <c r="I115" s="32" t="n">
        <f aca="false">0</f>
        <v>0</v>
      </c>
      <c r="J115" s="32" t="n">
        <f aca="false">0</f>
        <v>0</v>
      </c>
    </row>
    <row r="116" customFormat="false" ht="15" hidden="false" customHeight="false" outlineLevel="0" collapsed="false">
      <c r="A116" s="0" t="s">
        <v>416</v>
      </c>
      <c r="C116" s="32" t="n">
        <f aca="false">Inputs!$E$107</f>
        <v>1000000</v>
      </c>
      <c r="D116" s="32" t="n">
        <f aca="false">0</f>
        <v>0</v>
      </c>
      <c r="E116" s="32" t="n">
        <f aca="false">0</f>
        <v>0</v>
      </c>
      <c r="F116" s="32" t="n">
        <f aca="false">0</f>
        <v>0</v>
      </c>
      <c r="G116" s="32" t="n">
        <f aca="false">0</f>
        <v>0</v>
      </c>
      <c r="H116" s="32" t="n">
        <f aca="false">0</f>
        <v>0</v>
      </c>
      <c r="I116" s="32" t="n">
        <f aca="false">0</f>
        <v>0</v>
      </c>
      <c r="J116" s="32" t="n">
        <f aca="false">0</f>
        <v>0</v>
      </c>
    </row>
    <row r="117" customFormat="false" ht="15" hidden="false" customHeight="false" outlineLevel="0" collapsed="false">
      <c r="A117" s="0" t="s">
        <v>98</v>
      </c>
      <c r="C117" s="32" t="n">
        <f aca="false">-Inputs!$E$57*Inputs!$E$64</f>
        <v>-250000</v>
      </c>
      <c r="D117" s="40" t="n">
        <f aca="false">0</f>
        <v>0</v>
      </c>
      <c r="E117" s="40" t="n">
        <f aca="false">0</f>
        <v>0</v>
      </c>
      <c r="F117" s="40" t="n">
        <f aca="false">0</f>
        <v>0</v>
      </c>
      <c r="G117" s="40" t="n">
        <f aca="false">0</f>
        <v>0</v>
      </c>
      <c r="H117" s="40" t="n">
        <f aca="false">0</f>
        <v>0</v>
      </c>
      <c r="I117" s="40" t="n">
        <f aca="false">0</f>
        <v>0</v>
      </c>
      <c r="J117" s="40" t="n">
        <f aca="false">0</f>
        <v>0</v>
      </c>
    </row>
    <row r="118" customFormat="false" ht="15" hidden="false" customHeight="false" outlineLevel="0" collapsed="false">
      <c r="A118" s="0" t="s">
        <v>417</v>
      </c>
      <c r="C118" s="32" t="n">
        <f aca="false">-Inputs!$E$108</f>
        <v>-2000000</v>
      </c>
      <c r="D118" s="32" t="n">
        <f aca="false">0</f>
        <v>0</v>
      </c>
      <c r="E118" s="32" t="n">
        <f aca="false">0</f>
        <v>0</v>
      </c>
      <c r="F118" s="32" t="n">
        <f aca="false">0</f>
        <v>0</v>
      </c>
      <c r="G118" s="32" t="n">
        <f aca="false">0</f>
        <v>0</v>
      </c>
      <c r="H118" s="32" t="n">
        <f aca="false">0</f>
        <v>0</v>
      </c>
      <c r="I118" s="32" t="n">
        <f aca="false">0</f>
        <v>0</v>
      </c>
      <c r="J118" s="32" t="n">
        <f aca="false">0</f>
        <v>0</v>
      </c>
    </row>
    <row r="119" customFormat="false" ht="15" hidden="false" customHeight="false" outlineLevel="0" collapsed="false">
      <c r="A119" s="0" t="s">
        <v>418</v>
      </c>
      <c r="C119" s="32" t="n">
        <f aca="false">0</f>
        <v>0</v>
      </c>
      <c r="D119" s="32" t="n">
        <f aca="false">0</f>
        <v>0</v>
      </c>
      <c r="E119" s="32" t="n">
        <f aca="false">-E62*Inputs!$E$109</f>
        <v>-336302.14330072</v>
      </c>
      <c r="F119" s="32" t="n">
        <f aca="false">-F62*Inputs!$E$109</f>
        <v>-376455.188300382</v>
      </c>
      <c r="G119" s="32" t="n">
        <f aca="false">-G62*Inputs!$E$109</f>
        <v>-417659.67695143</v>
      </c>
      <c r="H119" s="32" t="n">
        <f aca="false">-H62*Inputs!$E$109</f>
        <v>-462464.262818478</v>
      </c>
      <c r="I119" s="32" t="n">
        <f aca="false">-I62*Inputs!$E$109</f>
        <v>-492576.879162247</v>
      </c>
      <c r="J119" s="32" t="n">
        <f aca="false">-J62*Inputs!$E$109</f>
        <v>-495590.863082494</v>
      </c>
    </row>
    <row r="120" customFormat="false" ht="15" hidden="false" customHeight="false" outlineLevel="0" collapsed="false">
      <c r="A120" s="9" t="s">
        <v>419</v>
      </c>
      <c r="C120" s="32" t="n">
        <f aca="false">SUM(C115:C119)</f>
        <v>-6450000</v>
      </c>
      <c r="D120" s="34" t="n">
        <f aca="false">SUM(D115:D119)</f>
        <v>0</v>
      </c>
      <c r="E120" s="34" t="n">
        <f aca="false">SUM(E115:E119)</f>
        <v>-336302.14330072</v>
      </c>
      <c r="F120" s="34" t="n">
        <f aca="false">SUM(F115:F119)</f>
        <v>-376455.188300382</v>
      </c>
      <c r="G120" s="34" t="n">
        <f aca="false">SUM(G115:G119)</f>
        <v>-417659.67695143</v>
      </c>
      <c r="H120" s="34" t="n">
        <f aca="false">SUM(H115:H119)</f>
        <v>-462464.262818478</v>
      </c>
      <c r="I120" s="34" t="n">
        <f aca="false">SUM(I115:I119)</f>
        <v>-492576.879162247</v>
      </c>
      <c r="J120" s="34" t="n">
        <f aca="false">SUM(J115:J119)</f>
        <v>-495590.863082494</v>
      </c>
    </row>
    <row r="121" customFormat="false" ht="15" hidden="false" customHeight="false" outlineLevel="0" collapsed="false">
      <c r="A121" s="9" t="s">
        <v>420</v>
      </c>
      <c r="C121" s="32" t="n">
        <f aca="false">C120</f>
        <v>-6450000</v>
      </c>
      <c r="D121" s="34" t="n">
        <f aca="false">D110+D120</f>
        <v>10072750.0286771</v>
      </c>
      <c r="E121" s="34" t="n">
        <f aca="false">E110+E120</f>
        <v>14041345.3819647</v>
      </c>
      <c r="F121" s="34" t="n">
        <f aca="false">F110+F120</f>
        <v>17058921.2389244</v>
      </c>
      <c r="G121" s="34" t="n">
        <f aca="false">G110+G120</f>
        <v>20270328.6601387</v>
      </c>
      <c r="H121" s="34" t="n">
        <f aca="false">H110+H120</f>
        <v>23978719.5449649</v>
      </c>
      <c r="I121" s="34" t="n">
        <f aca="false">I110+I120</f>
        <v>24789918.4024295</v>
      </c>
      <c r="J121" s="34" t="n">
        <f aca="false">J110+J120</f>
        <v>24870606.4575237</v>
      </c>
    </row>
    <row r="122" customFormat="false" ht="15" hidden="false" customHeight="false" outlineLevel="0" collapsed="false">
      <c r="A122" s="0" t="s">
        <v>421</v>
      </c>
      <c r="C122" s="32" t="n">
        <f aca="false">C121</f>
        <v>-6450000</v>
      </c>
      <c r="D122" s="32" t="n">
        <f aca="false">C122+D121</f>
        <v>3622750.02867707</v>
      </c>
      <c r="E122" s="32" t="n">
        <f aca="false">D122+E121</f>
        <v>17664095.4106418</v>
      </c>
      <c r="F122" s="32" t="n">
        <f aca="false">E122+F121</f>
        <v>34723016.6495662</v>
      </c>
      <c r="G122" s="32" t="n">
        <f aca="false">F122+G121</f>
        <v>54993345.3097049</v>
      </c>
      <c r="H122" s="32" t="n">
        <f aca="false">G122+H121</f>
        <v>78972064.8546698</v>
      </c>
      <c r="I122" s="32" t="n">
        <f aca="false">H122+I121</f>
        <v>103761983.257099</v>
      </c>
      <c r="J122" s="32" t="n">
        <f aca="false">I122+J121</f>
        <v>128632589.714623</v>
      </c>
    </row>
    <row r="123" customFormat="false" ht="15" hidden="false" customHeight="false" outlineLevel="0" collapsed="false">
      <c r="A123" s="0" t="s">
        <v>422</v>
      </c>
      <c r="D123" s="33" t="n">
        <f aca="false">IF(D122&gt;=0,1,0)</f>
        <v>1</v>
      </c>
      <c r="E123" s="33" t="n">
        <f aca="false">IF(E122&gt;=0,1,0)</f>
        <v>1</v>
      </c>
      <c r="F123" s="33" t="n">
        <f aca="false">IF(F122&gt;=0,1,0)</f>
        <v>1</v>
      </c>
      <c r="G123" s="33" t="n">
        <f aca="false">IF(G122&gt;=0,1,0)</f>
        <v>1</v>
      </c>
      <c r="H123" s="33" t="n">
        <f aca="false">IF(H122&gt;=0,1,0)</f>
        <v>1</v>
      </c>
      <c r="I123" s="33" t="n">
        <f aca="false">IF(I122&gt;=0,1,0)</f>
        <v>1</v>
      </c>
      <c r="J123" s="33" t="n">
        <f aca="false">IF(J122&gt;=0,1,0)</f>
        <v>1</v>
      </c>
    </row>
    <row r="124" customFormat="false" ht="15" hidden="false" customHeight="false" outlineLevel="0" collapsed="false">
      <c r="A124" s="0" t="s">
        <v>423</v>
      </c>
      <c r="C124" s="32" t="n">
        <f aca="false">0</f>
        <v>0</v>
      </c>
      <c r="D124" s="32" t="n">
        <f aca="false">0</f>
        <v>0</v>
      </c>
      <c r="E124" s="32" t="n">
        <f aca="false">0</f>
        <v>0</v>
      </c>
      <c r="F124" s="32" t="n">
        <f aca="false">0</f>
        <v>0</v>
      </c>
      <c r="G124" s="32" t="n">
        <f aca="false">0</f>
        <v>0</v>
      </c>
      <c r="H124" s="32" t="n">
        <f aca="false">0</f>
        <v>0</v>
      </c>
      <c r="I124" s="32" t="n">
        <f aca="false">0</f>
        <v>0</v>
      </c>
      <c r="J124" s="32" t="n">
        <f aca="false">J110*Inputs!$E$9</f>
        <v>177563381.244243</v>
      </c>
    </row>
    <row r="125" customFormat="false" ht="15" hidden="false" customHeight="false" outlineLevel="0" collapsed="false">
      <c r="A125" s="9" t="s">
        <v>424</v>
      </c>
      <c r="C125" s="32" t="n">
        <f aca="false">C121</f>
        <v>-6450000</v>
      </c>
      <c r="D125" s="34" t="n">
        <f aca="false">D121+D124</f>
        <v>10072750.0286771</v>
      </c>
      <c r="E125" s="34" t="n">
        <f aca="false">E121+E124</f>
        <v>14041345.3819647</v>
      </c>
      <c r="F125" s="34" t="n">
        <f aca="false">F121+F124</f>
        <v>17058921.2389244</v>
      </c>
      <c r="G125" s="34" t="n">
        <f aca="false">G121+G124</f>
        <v>20270328.6601387</v>
      </c>
      <c r="H125" s="34" t="n">
        <f aca="false">H121+H124</f>
        <v>23978719.5449649</v>
      </c>
      <c r="I125" s="34" t="n">
        <f aca="false">I121+I124</f>
        <v>24789918.4024295</v>
      </c>
      <c r="J125" s="34" t="n">
        <f aca="false">J121+J124</f>
        <v>202433987.701767</v>
      </c>
    </row>
    <row r="126" customFormat="false" ht="15" hidden="false" customHeight="false" outlineLevel="0" collapsed="false">
      <c r="A126" s="6" t="s">
        <v>425</v>
      </c>
      <c r="B126" s="7"/>
      <c r="C126" s="7"/>
      <c r="D126" s="7"/>
      <c r="E126" s="7"/>
      <c r="F126" s="7"/>
      <c r="G126" s="7"/>
      <c r="H126" s="7"/>
      <c r="I126" s="7"/>
      <c r="J126" s="7"/>
    </row>
    <row r="127" customFormat="false" ht="15" hidden="false" customHeight="false" outlineLevel="0" collapsed="false">
      <c r="A127" s="0" t="s">
        <v>101</v>
      </c>
      <c r="C127" s="42" t="n">
        <f aca="false">IFERROR(IRR(C121:J121),"n/a")</f>
        <v>1.86182672726029</v>
      </c>
    </row>
    <row r="128" customFormat="false" ht="15" hidden="false" customHeight="false" outlineLevel="0" collapsed="false">
      <c r="A128" s="0" t="s">
        <v>426</v>
      </c>
      <c r="C128" s="42" t="n">
        <f aca="false">IFERROR(IRR(C125:J125),"n/a")</f>
        <v>1.88892344374369</v>
      </c>
    </row>
    <row r="129" customFormat="false" ht="15" hidden="false" customHeight="false" outlineLevel="0" collapsed="false">
      <c r="A129" s="0" t="s">
        <v>427</v>
      </c>
      <c r="C129" s="34" t="n">
        <f aca="false">NPV(Inputs!$E$8,D121:J121)+C121</f>
        <v>67721140.7808564</v>
      </c>
    </row>
    <row r="130" customFormat="false" ht="15" hidden="false" customHeight="false" outlineLevel="0" collapsed="false">
      <c r="A130" s="0" t="s">
        <v>428</v>
      </c>
      <c r="C130" s="34" t="n">
        <f aca="false">NPV(Inputs!$E$8,D125:J125)+C125</f>
        <v>134473792.724553</v>
      </c>
    </row>
    <row r="131" customFormat="false" ht="15" hidden="false" customHeight="false" outlineLevel="0" collapsed="false">
      <c r="A131" s="0" t="s">
        <v>429</v>
      </c>
      <c r="C131" s="42" t="n">
        <f aca="false">-SUM(D121:J121)/C121-1</f>
        <v>19.9430371650578</v>
      </c>
    </row>
    <row r="132" customFormat="false" ht="15" hidden="false" customHeight="false" outlineLevel="0" collapsed="false">
      <c r="A132" s="0" t="s">
        <v>106</v>
      </c>
      <c r="C132" s="42" t="n">
        <f aca="false">-SUM(D125:J125)/C125-1</f>
        <v>47.4722435595141</v>
      </c>
    </row>
    <row r="133" customFormat="false" ht="15" hidden="false" customHeight="false" outlineLevel="0" collapsed="false">
      <c r="A133" s="0" t="s">
        <v>107</v>
      </c>
      <c r="C133" s="37" t="n">
        <f aca="false">IFERROR(MATCH(1,D123:J123,0),"beyond Y7")</f>
        <v>1</v>
      </c>
    </row>
    <row r="134" customFormat="false" ht="15" hidden="false" customHeight="false" outlineLevel="0" collapsed="false">
      <c r="A134" s="0" t="s">
        <v>430</v>
      </c>
      <c r="C134" s="34" t="n">
        <f aca="false">-C120</f>
        <v>6450000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8" min="2" style="0" width="16"/>
  </cols>
  <sheetData>
    <row r="1" customFormat="false" ht="17.35" hidden="false" customHeight="false" outlineLevel="0" collapsed="false">
      <c r="A1" s="4" t="s">
        <v>433</v>
      </c>
    </row>
    <row r="3" customFormat="false" ht="15" hidden="false" customHeight="false" outlineLevel="0" collapsed="false">
      <c r="A3" s="5" t="s">
        <v>109</v>
      </c>
      <c r="B3" s="5" t="s">
        <v>110</v>
      </c>
      <c r="C3" s="5" t="s">
        <v>111</v>
      </c>
      <c r="D3" s="5" t="s">
        <v>112</v>
      </c>
      <c r="E3" s="5" t="s">
        <v>113</v>
      </c>
      <c r="F3" s="5" t="s">
        <v>114</v>
      </c>
      <c r="G3" s="5" t="s">
        <v>115</v>
      </c>
      <c r="H3" s="5" t="s">
        <v>116</v>
      </c>
    </row>
    <row r="4" customFormat="false" ht="15" hidden="false" customHeight="false" outlineLevel="0" collapsed="false">
      <c r="A4" s="6" t="s">
        <v>434</v>
      </c>
      <c r="B4" s="7"/>
      <c r="C4" s="7"/>
      <c r="D4" s="7"/>
      <c r="E4" s="7"/>
      <c r="F4" s="7"/>
      <c r="G4" s="7"/>
      <c r="H4" s="7"/>
    </row>
    <row r="5" customFormat="false" ht="15" hidden="false" customHeight="false" outlineLevel="0" collapsed="false">
      <c r="A5" s="0" t="s">
        <v>435</v>
      </c>
      <c r="B5" s="33" t="n">
        <f aca="false">Inputs!$C$112</f>
        <v>1</v>
      </c>
      <c r="C5" s="33" t="n">
        <f aca="false">Inputs!$C$113</f>
        <v>1</v>
      </c>
      <c r="D5" s="33" t="n">
        <f aca="false">Inputs!$C$114</f>
        <v>3</v>
      </c>
      <c r="E5" s="33" t="n">
        <f aca="false">Inputs!$C$115</f>
        <v>5</v>
      </c>
      <c r="F5" s="33" t="n">
        <f aca="false">Inputs!$C$116</f>
        <v>10</v>
      </c>
      <c r="G5" s="33" t="n">
        <f aca="false">Inputs!$C$117</f>
        <v>10</v>
      </c>
      <c r="H5" s="33" t="n">
        <f aca="false">Inputs!$C$118</f>
        <v>10</v>
      </c>
    </row>
    <row r="6" customFormat="false" ht="15" hidden="false" customHeight="false" outlineLevel="0" collapsed="false">
      <c r="A6" s="9" t="s">
        <v>436</v>
      </c>
      <c r="B6" s="37" t="n">
        <f aca="false">SUM($B$5:B$5)</f>
        <v>1</v>
      </c>
      <c r="C6" s="37" t="n">
        <f aca="false">SUM($B$5:C$5)</f>
        <v>2</v>
      </c>
      <c r="D6" s="37" t="n">
        <f aca="false">SUM($B$5:D$5)</f>
        <v>5</v>
      </c>
      <c r="E6" s="37" t="n">
        <f aca="false">SUM($B$5:E$5)</f>
        <v>10</v>
      </c>
      <c r="F6" s="37" t="n">
        <f aca="false">SUM($B$5:F$5)</f>
        <v>20</v>
      </c>
      <c r="G6" s="37" t="n">
        <f aca="false">SUM($B$5:G$5)</f>
        <v>30</v>
      </c>
      <c r="H6" s="37" t="n">
        <f aca="false">SUM($B$5:H$5)</f>
        <v>40</v>
      </c>
    </row>
    <row r="7" customFormat="false" ht="15" hidden="false" customHeight="false" outlineLevel="0" collapsed="false">
      <c r="A7" s="0" t="s">
        <v>437</v>
      </c>
      <c r="B7" s="32" t="n">
        <f aca="false">B$5*Calc_P!D$106</f>
        <v>3767211.34771885</v>
      </c>
      <c r="C7" s="32" t="n">
        <f aca="false">B$5*Calc_P!E$106+C$5*Calc_P!D$106</f>
        <v>8696534.8515551</v>
      </c>
      <c r="D7" s="32" t="n">
        <f aca="false">B$5*Calc_P!F$106+C$5*Calc_P!E$106+D$5*Calc_P!D$106</f>
        <v>21789947.3222276</v>
      </c>
      <c r="E7" s="32" t="n">
        <f aca="false">B$5*Calc_P!G$106+C$5*Calc_P!F$106+D$5*Calc_P!E$106+E$5*Calc_P!D$106</f>
        <v>45128007.6150301</v>
      </c>
      <c r="F7" s="32" t="n">
        <f aca="false">B$5*Calc_P!H$106+C$5*Calc_P!G$106+D$5*Calc_P!F$106+E$5*Calc_P!E$106+F$5*Calc_P!D$106</f>
        <v>91181239.8819287</v>
      </c>
      <c r="G7" s="32" t="n">
        <f aca="false">B$5*Calc_P!I$106+C$5*Calc_P!H$106+D$5*Calc_P!G$106+E$5*Calc_P!F$106+F$5*Calc_P!E$106+G$5*Calc_P!D$106</f>
        <v>145254087.225106</v>
      </c>
      <c r="H7" s="32" t="n">
        <f aca="false">B$5*Calc_P!J$106+C$5*Calc_P!I$106+D$5*Calc_P!H$106+E$5*Calc_P!G$106+F$5*Calc_P!F$106+G$5*Calc_P!E$106+H$5*Calc_P!D$106</f>
        <v>203997720.700678</v>
      </c>
    </row>
    <row r="8" customFormat="false" ht="15" hidden="false" customHeight="false" outlineLevel="0" collapsed="false">
      <c r="A8" s="9" t="s">
        <v>438</v>
      </c>
      <c r="B8" s="34" t="n">
        <f aca="false">B$5*Calc_P!D$110</f>
        <v>-1853389.09286429</v>
      </c>
      <c r="C8" s="34" t="n">
        <f aca="false">B$5*Calc_P!E$110+C$5*Calc_P!D$110</f>
        <v>-2818648.23157411</v>
      </c>
      <c r="D8" s="34" t="n">
        <f aca="false">B$5*Calc_P!F$110+C$5*Calc_P!E$110+D$5*Calc_P!D$110</f>
        <v>-7024926.82024632</v>
      </c>
      <c r="E8" s="34" t="n">
        <f aca="false">B$5*Calc_P!G$110+C$5*Calc_P!F$110+D$5*Calc_P!E$110+E$5*Calc_P!D$110</f>
        <v>-12903693.7286162</v>
      </c>
      <c r="F8" s="34" t="n">
        <f aca="false">B$5*Calc_P!H$110+C$5*Calc_P!G$110+D$5*Calc_P!F$110+E$5*Calc_P!E$110+F$5*Calc_P!D$110</f>
        <v>-25145636.443589</v>
      </c>
      <c r="G8" s="34" t="n">
        <f aca="false">B$5*Calc_P!I$110+C$5*Calc_P!H$110+D$5*Calc_P!G$110+E$5*Calc_P!F$110+F$5*Calc_P!E$110+G$5*Calc_P!D$110</f>
        <v>-31378153.4134924</v>
      </c>
      <c r="H8" s="34" t="n">
        <f aca="false">B$5*Calc_P!J$110+C$5*Calc_P!I$110+D$5*Calc_P!H$110+E$5*Calc_P!G$110+F$5*Calc_P!F$110+G$5*Calc_P!E$110+H$5*Calc_P!D$110</f>
        <v>-34262906.5160879</v>
      </c>
    </row>
    <row r="9" customFormat="false" ht="15" hidden="false" customHeight="false" outlineLevel="0" collapsed="false">
      <c r="A9" s="0" t="s">
        <v>439</v>
      </c>
      <c r="B9" s="32" t="n">
        <f aca="false">-B5*Calc_P!$C$134</f>
        <v>-12712000</v>
      </c>
      <c r="C9" s="32" t="n">
        <f aca="false">-C5*Calc_P!$C$134</f>
        <v>-12712000</v>
      </c>
      <c r="D9" s="32" t="n">
        <f aca="false">-D5*Calc_P!$C$134</f>
        <v>-38136000</v>
      </c>
      <c r="E9" s="32" t="n">
        <f aca="false">-E5*Calc_P!$C$134</f>
        <v>-63560000</v>
      </c>
      <c r="F9" s="32" t="n">
        <f aca="false">-F5*Calc_P!$C$134</f>
        <v>-127120000</v>
      </c>
      <c r="G9" s="32" t="n">
        <f aca="false">-G5*Calc_P!$C$134</f>
        <v>-127120000</v>
      </c>
      <c r="H9" s="32" t="n">
        <f aca="false">-H5*Calc_P!$C$134</f>
        <v>-127120000</v>
      </c>
    </row>
    <row r="10" customFormat="false" ht="15" hidden="false" customHeight="false" outlineLevel="0" collapsed="false">
      <c r="A10" s="0" t="s">
        <v>440</v>
      </c>
      <c r="B10" s="32" t="n">
        <f aca="false">B$5*Calc_P!D$119</f>
        <v>0</v>
      </c>
      <c r="C10" s="32" t="n">
        <f aca="false">B$5*Calc_P!E$119+C$5*Calc_P!D$119</f>
        <v>-86593.9709726528</v>
      </c>
      <c r="D10" s="32" t="n">
        <f aca="false">B$5*Calc_P!F$119+C$5*Calc_P!E$119+D$5*Calc_P!D$119</f>
        <v>-184452.562583254</v>
      </c>
      <c r="E10" s="32" t="n">
        <f aca="false">B$5*Calc_P!G$119+C$5*Calc_P!F$119+D$5*Calc_P!E$119+E$5*Calc_P!D$119</f>
        <v>-461706.62249898</v>
      </c>
      <c r="F10" s="32" t="n">
        <f aca="false">B$5*Calc_P!H$119+C$5*Calc_P!G$119+D$5*Calc_P!F$119+E$5*Calc_P!E$119+F$5*Calc_P!D$119</f>
        <v>-938999.661420014</v>
      </c>
      <c r="G10" s="32" t="n">
        <f aca="false">B$5*Calc_P!I$119+C$5*Calc_P!H$119+D$5*Calc_P!G$119+E$5*Calc_P!F$119+F$5*Calc_P!E$119+G$5*Calc_P!D$119</f>
        <v>-1886238.46138761</v>
      </c>
      <c r="H10" s="32" t="n">
        <f aca="false">B$5*Calc_P!J$119+C$5*Calc_P!I$119+D$5*Calc_P!H$119+E$5*Calc_P!G$119+F$5*Calc_P!F$119+G$5*Calc_P!E$119+H$5*Calc_P!D$119</f>
        <v>-2912606.69224597</v>
      </c>
    </row>
    <row r="11" customFormat="false" ht="15" hidden="false" customHeight="false" outlineLevel="0" collapsed="false">
      <c r="A11" s="0" t="s">
        <v>441</v>
      </c>
      <c r="B11" s="32" t="n">
        <f aca="false">(B5-IF(1=1,1,0))*Inputs!$C$54</f>
        <v>0</v>
      </c>
      <c r="C11" s="32" t="n">
        <f aca="false">(C5-IF(2=1,1,0))*Inputs!$C$54</f>
        <v>0</v>
      </c>
      <c r="D11" s="32" t="n">
        <f aca="false">(D5-IF(3=1,1,0))*Inputs!$C$54</f>
        <v>0</v>
      </c>
      <c r="E11" s="32" t="n">
        <f aca="false">(E5-IF(4=1,1,0))*Inputs!$C$54</f>
        <v>0</v>
      </c>
      <c r="F11" s="32" t="n">
        <f aca="false">(F5-IF(5=1,1,0))*Inputs!$C$54</f>
        <v>0</v>
      </c>
      <c r="G11" s="32" t="n">
        <f aca="false">(G5-IF(6=1,1,0))*Inputs!$C$54</f>
        <v>0</v>
      </c>
      <c r="H11" s="32" t="n">
        <f aca="false">(H5-IF(7=1,1,0))*Inputs!$C$54</f>
        <v>0</v>
      </c>
    </row>
    <row r="12" customFormat="false" ht="15" hidden="false" customHeight="false" outlineLevel="0" collapsed="false">
      <c r="A12" s="0" t="s">
        <v>442</v>
      </c>
      <c r="B12" s="32" t="n">
        <f aca="false">B8+B9+B10+B11</f>
        <v>-14565389.0928643</v>
      </c>
      <c r="C12" s="32" t="n">
        <f aca="false">C8+C9+C10+C11</f>
        <v>-15617242.2025468</v>
      </c>
      <c r="D12" s="32" t="n">
        <f aca="false">D8+D9+D10+D11</f>
        <v>-45345379.3828296</v>
      </c>
      <c r="E12" s="32" t="n">
        <f aca="false">E8+E9+E10+E11</f>
        <v>-76925400.3511151</v>
      </c>
      <c r="F12" s="32" t="n">
        <f aca="false">F8+F9+F10+F11</f>
        <v>-153204636.105009</v>
      </c>
      <c r="G12" s="32" t="n">
        <f aca="false">G8+G9+G10+G11</f>
        <v>-160384391.87488</v>
      </c>
      <c r="H12" s="32" t="n">
        <f aca="false">H8+H9+H10+H11</f>
        <v>-164295513.208334</v>
      </c>
    </row>
    <row r="13" customFormat="false" ht="15" hidden="false" customHeight="false" outlineLevel="0" collapsed="false">
      <c r="A13" s="9" t="s">
        <v>443</v>
      </c>
      <c r="B13" s="34" t="n">
        <f aca="false">SUM($B$12:B$12)</f>
        <v>-14565389.0928643</v>
      </c>
      <c r="C13" s="34" t="n">
        <f aca="false">SUM($B$12:C$12)</f>
        <v>-30182631.295411</v>
      </c>
      <c r="D13" s="34" t="n">
        <f aca="false">SUM($B$12:D$12)</f>
        <v>-75528010.6782406</v>
      </c>
      <c r="E13" s="34" t="n">
        <f aca="false">SUM($B$12:E$12)</f>
        <v>-152453411.029356</v>
      </c>
      <c r="F13" s="34" t="n">
        <f aca="false">SUM($B$12:F$12)</f>
        <v>-305658047.134365</v>
      </c>
      <c r="G13" s="34" t="n">
        <f aca="false">SUM($B$12:G$12)</f>
        <v>-466042439.009245</v>
      </c>
      <c r="H13" s="34" t="n">
        <f aca="false">SUM($B$12:H$12)</f>
        <v>-630337952.217579</v>
      </c>
    </row>
    <row r="14" customFormat="false" ht="15" hidden="false" customHeight="false" outlineLevel="0" collapsed="false">
      <c r="A14" s="0" t="s">
        <v>444</v>
      </c>
      <c r="B14" s="32" t="n">
        <f aca="false">MAX(0,B8)*Inputs!$C$9</f>
        <v>0</v>
      </c>
      <c r="C14" s="32" t="n">
        <f aca="false">MAX(0,C8)*Inputs!$C$9</f>
        <v>0</v>
      </c>
      <c r="D14" s="32" t="n">
        <f aca="false">MAX(0,D8)*Inputs!$C$9</f>
        <v>0</v>
      </c>
      <c r="E14" s="32" t="n">
        <f aca="false">MAX(0,E8)*Inputs!$C$9</f>
        <v>0</v>
      </c>
      <c r="F14" s="32" t="n">
        <f aca="false">MAX(0,F8)*Inputs!$C$9</f>
        <v>0</v>
      </c>
      <c r="G14" s="32" t="n">
        <f aca="false">MAX(0,G8)*Inputs!$C$9</f>
        <v>0</v>
      </c>
      <c r="H14" s="32" t="n">
        <f aca="false">MAX(0,H8)*Inputs!$C$9</f>
        <v>0</v>
      </c>
    </row>
    <row r="15" customFormat="false" ht="15" hidden="false" customHeight="false" outlineLevel="0" collapsed="false">
      <c r="A15" s="0" t="s">
        <v>445</v>
      </c>
      <c r="B15" s="32" t="n">
        <f aca="false">MAX(0,B6*Calc_P!$H$110)*Inputs!$C$9</f>
        <v>0</v>
      </c>
      <c r="C15" s="32" t="n">
        <f aca="false">MAX(0,C6*Calc_P!$H$110)*Inputs!$C$9</f>
        <v>0</v>
      </c>
      <c r="D15" s="32" t="n">
        <f aca="false">MAX(0,D6*Calc_P!$H$110)*Inputs!$C$9</f>
        <v>0</v>
      </c>
      <c r="E15" s="32" t="n">
        <f aca="false">MAX(0,E6*Calc_P!$H$110)*Inputs!$C$9</f>
        <v>0</v>
      </c>
      <c r="F15" s="32" t="n">
        <f aca="false">MAX(0,F6*Calc_P!$H$110)*Inputs!$C$9</f>
        <v>0</v>
      </c>
      <c r="G15" s="32" t="n">
        <f aca="false">MAX(0,G6*Calc_P!$H$110)*Inputs!$C$9</f>
        <v>0</v>
      </c>
      <c r="H15" s="32" t="n">
        <f aca="false">MAX(0,H6*Calc_P!$H$110)*Inputs!$C$9</f>
        <v>0</v>
      </c>
    </row>
    <row r="16" customFormat="false" ht="15" hidden="false" customHeight="false" outlineLevel="0" collapsed="false">
      <c r="A16" s="0" t="s">
        <v>446</v>
      </c>
      <c r="B16" s="33" t="n">
        <f aca="false">IF(B14&gt;=1000000000,1,0)</f>
        <v>0</v>
      </c>
      <c r="C16" s="33" t="n">
        <f aca="false">IF(C14&gt;=1000000000,1,0)</f>
        <v>0</v>
      </c>
      <c r="D16" s="33" t="n">
        <f aca="false">IF(D14&gt;=1000000000,1,0)</f>
        <v>0</v>
      </c>
      <c r="E16" s="33" t="n">
        <f aca="false">IF(E14&gt;=1000000000,1,0)</f>
        <v>0</v>
      </c>
      <c r="F16" s="33" t="n">
        <f aca="false">IF(F14&gt;=1000000000,1,0)</f>
        <v>0</v>
      </c>
      <c r="G16" s="33" t="n">
        <f aca="false">IF(G14&gt;=1000000000,1,0)</f>
        <v>0</v>
      </c>
      <c r="H16" s="33" t="n">
        <f aca="false">IF(H14&gt;=1000000000,1,0)</f>
        <v>0</v>
      </c>
    </row>
    <row r="17" customFormat="false" ht="15" hidden="false" customHeight="false" outlineLevel="0" collapsed="false">
      <c r="A17" s="0" t="s">
        <v>447</v>
      </c>
      <c r="B17" s="33" t="n">
        <f aca="false">IF(B14&gt;=10000000000,1,0)</f>
        <v>0</v>
      </c>
      <c r="C17" s="33" t="n">
        <f aca="false">IF(C14&gt;=10000000000,1,0)</f>
        <v>0</v>
      </c>
      <c r="D17" s="33" t="n">
        <f aca="false">IF(D14&gt;=10000000000,1,0)</f>
        <v>0</v>
      </c>
      <c r="E17" s="33" t="n">
        <f aca="false">IF(E14&gt;=10000000000,1,0)</f>
        <v>0</v>
      </c>
      <c r="F17" s="33" t="n">
        <f aca="false">IF(F14&gt;=10000000000,1,0)</f>
        <v>0</v>
      </c>
      <c r="G17" s="33" t="n">
        <f aca="false">IF(G14&gt;=10000000000,1,0)</f>
        <v>0</v>
      </c>
      <c r="H17" s="33" t="n">
        <f aca="false">IF(H14&gt;=10000000000,1,0)</f>
        <v>0</v>
      </c>
    </row>
    <row r="18" customFormat="false" ht="15" hidden="false" customHeight="false" outlineLevel="0" collapsed="false">
      <c r="A18" s="0" t="s">
        <v>448</v>
      </c>
      <c r="B18" s="34" t="n">
        <f aca="false">SUM(B11:H11)</f>
        <v>0</v>
      </c>
    </row>
    <row r="19" customFormat="false" ht="15" hidden="false" customHeight="false" outlineLevel="0" collapsed="false">
      <c r="A19" s="0" t="s">
        <v>449</v>
      </c>
      <c r="B19" s="34" t="n">
        <f aca="false">-MIN(0,MIN(B13:H13))</f>
        <v>630337952.217579</v>
      </c>
    </row>
    <row r="20" customFormat="false" ht="15" hidden="false" customHeight="false" outlineLevel="0" collapsed="false">
      <c r="A20" s="0" t="s">
        <v>450</v>
      </c>
      <c r="B20" s="37" t="str">
        <f aca="false">IF(Calc_P!H110&gt;0,ROUNDUP(1000000000/(Calc_P!H110*Inputs!$C$9),0),"n/a")</f>
        <v>n/a</v>
      </c>
    </row>
    <row r="21" customFormat="false" ht="15" hidden="false" customHeight="false" outlineLevel="0" collapsed="false">
      <c r="A21" s="0" t="s">
        <v>451</v>
      </c>
      <c r="B21" s="37" t="str">
        <f aca="false">IF(Calc_P!H110&gt;0,ROUNDUP(10000000000/(Calc_P!H110*Inputs!$C$9),0),"n/a")</f>
        <v>n/a</v>
      </c>
    </row>
    <row r="22" customFormat="false" ht="15" hidden="false" customHeight="false" outlineLevel="0" collapsed="false">
      <c r="A22" s="0" t="s">
        <v>452</v>
      </c>
      <c r="B22" s="37" t="str">
        <f aca="false">IFERROR(MATCH(1,B16:H16,0),"not by Y7")</f>
        <v>not by Y7</v>
      </c>
    </row>
    <row r="23" customFormat="false" ht="15" hidden="false" customHeight="false" outlineLevel="0" collapsed="false">
      <c r="A23" s="0" t="s">
        <v>453</v>
      </c>
      <c r="B23" s="37" t="str">
        <f aca="false">IFERROR(MATCH(1,B17:H17,0),"not by Y7")</f>
        <v>not by Y7</v>
      </c>
    </row>
    <row r="25" customFormat="false" ht="15" hidden="false" customHeight="false" outlineLevel="0" collapsed="false">
      <c r="A25" s="6" t="s">
        <v>454</v>
      </c>
      <c r="B25" s="7"/>
      <c r="C25" s="7"/>
      <c r="D25" s="7"/>
      <c r="E25" s="7"/>
      <c r="F25" s="7"/>
      <c r="G25" s="7"/>
      <c r="H25" s="7"/>
    </row>
    <row r="26" customFormat="false" ht="15" hidden="false" customHeight="false" outlineLevel="0" collapsed="false">
      <c r="A26" s="0" t="s">
        <v>435</v>
      </c>
      <c r="B26" s="33" t="n">
        <f aca="false">Inputs!$D$112</f>
        <v>1</v>
      </c>
      <c r="C26" s="33" t="n">
        <f aca="false">Inputs!$D$113</f>
        <v>2</v>
      </c>
      <c r="D26" s="33" t="n">
        <f aca="false">Inputs!$D$114</f>
        <v>7</v>
      </c>
      <c r="E26" s="33" t="n">
        <f aca="false">Inputs!$D$115</f>
        <v>15</v>
      </c>
      <c r="F26" s="33" t="n">
        <f aca="false">Inputs!$D$116</f>
        <v>25</v>
      </c>
      <c r="G26" s="33" t="n">
        <f aca="false">Inputs!$D$117</f>
        <v>25</v>
      </c>
      <c r="H26" s="33" t="n">
        <f aca="false">Inputs!$D$118</f>
        <v>25</v>
      </c>
    </row>
    <row r="27" customFormat="false" ht="15" hidden="false" customHeight="false" outlineLevel="0" collapsed="false">
      <c r="A27" s="9" t="s">
        <v>436</v>
      </c>
      <c r="B27" s="37" t="n">
        <f aca="false">SUM($B$26:B$26)</f>
        <v>1</v>
      </c>
      <c r="C27" s="37" t="n">
        <f aca="false">SUM($B$26:C$26)</f>
        <v>3</v>
      </c>
      <c r="D27" s="37" t="n">
        <f aca="false">SUM($B$26:D$26)</f>
        <v>10</v>
      </c>
      <c r="E27" s="37" t="n">
        <f aca="false">SUM($B$26:E$26)</f>
        <v>25</v>
      </c>
      <c r="F27" s="37" t="n">
        <f aca="false">SUM($B$26:F$26)</f>
        <v>50</v>
      </c>
      <c r="G27" s="37" t="n">
        <f aca="false">SUM($B$26:G$26)</f>
        <v>75</v>
      </c>
      <c r="H27" s="37" t="n">
        <f aca="false">SUM($B$26:H$26)</f>
        <v>100</v>
      </c>
    </row>
    <row r="28" customFormat="false" ht="15" hidden="false" customHeight="false" outlineLevel="0" collapsed="false">
      <c r="A28" s="0" t="s">
        <v>437</v>
      </c>
      <c r="B28" s="32" t="n">
        <f aca="false">B$26*Calc_R!D$106</f>
        <v>10293877.9169808</v>
      </c>
      <c r="C28" s="32" t="n">
        <f aca="false">B$26*Calc_R!E$106+C$26*Calc_R!D$106</f>
        <v>34907566.3248732</v>
      </c>
      <c r="D28" s="32" t="n">
        <f aca="false">B$26*Calc_R!F$106+C$26*Calc_R!E$106+D$26*Calc_R!D$106</f>
        <v>117077917.73968</v>
      </c>
      <c r="E28" s="32" t="n">
        <f aca="false">B$26*Calc_R!G$106+C$26*Calc_R!F$106+D$26*Calc_R!E$106+E$26*Calc_R!D$106</f>
        <v>305593485.32158</v>
      </c>
      <c r="F28" s="32" t="n">
        <f aca="false">B$26*Calc_R!H$106+C$26*Calc_R!G$106+D$26*Calc_R!F$106+E$26*Calc_R!E$106+F$26*Calc_R!D$106</f>
        <v>643157724.28698</v>
      </c>
      <c r="G28" s="32" t="n">
        <f aca="false">B$26*Calc_R!I$106+C$26*Calc_R!H$106+D$26*Calc_R!G$106+E$26*Calc_R!F$106+F$26*Calc_R!E$106+G$26*Calc_R!D$106</f>
        <v>1049998161.52294</v>
      </c>
      <c r="H28" s="32" t="n">
        <f aca="false">B$26*Calc_R!J$106+C$26*Calc_R!I$106+D$26*Calc_R!H$106+E$26*Calc_R!G$106+F$26*Calc_R!F$106+G$26*Calc_R!E$106+H$26*Calc_R!D$106</f>
        <v>1504298273.35853</v>
      </c>
    </row>
    <row r="29" customFormat="false" ht="15" hidden="false" customHeight="false" outlineLevel="0" collapsed="false">
      <c r="A29" s="9" t="s">
        <v>438</v>
      </c>
      <c r="B29" s="34" t="n">
        <f aca="false">B$26*Calc_R!D$110</f>
        <v>2689148.51269064</v>
      </c>
      <c r="C29" s="34" t="n">
        <f aca="false">B$26*Calc_R!E$110+C$26*Calc_R!D$110</f>
        <v>11255421.8454763</v>
      </c>
      <c r="D29" s="34" t="n">
        <f aca="false">B$26*Calc_R!F$110+C$26*Calc_R!E$110+D$26*Calc_R!D$110</f>
        <v>37948059.4222894</v>
      </c>
      <c r="E29" s="34" t="n">
        <f aca="false">B$26*Calc_R!G$110+C$26*Calc_R!F$110+D$26*Calc_R!E$110+E$26*Calc_R!D$110</f>
        <v>104835443.573853</v>
      </c>
      <c r="F29" s="34" t="n">
        <f aca="false">B$26*Calc_R!H$110+C$26*Calc_R!G$110+D$26*Calc_R!F$110+E$26*Calc_R!E$110+F$26*Calc_R!D$110</f>
        <v>234091264.490823</v>
      </c>
      <c r="G29" s="34" t="n">
        <f aca="false">B$26*Calc_R!I$110+C$26*Calc_R!H$110+D$26*Calc_R!G$110+E$26*Calc_R!F$110+F$26*Calc_R!E$110+G$26*Calc_R!D$110</f>
        <v>415897966.778823</v>
      </c>
      <c r="H29" s="34" t="n">
        <f aca="false">B$26*Calc_R!J$110+C$26*Calc_R!I$110+D$26*Calc_R!H$110+E$26*Calc_R!G$110+F$26*Calc_R!F$110+G$26*Calc_R!E$110+H$26*Calc_R!D$110</f>
        <v>631397177.250345</v>
      </c>
    </row>
    <row r="30" customFormat="false" ht="15" hidden="false" customHeight="false" outlineLevel="0" collapsed="false">
      <c r="A30" s="0" t="s">
        <v>439</v>
      </c>
      <c r="B30" s="32" t="n">
        <f aca="false">-B26*Calc_R!$C$134</f>
        <v>-8812000</v>
      </c>
      <c r="C30" s="32" t="n">
        <f aca="false">-C26*Calc_R!$C$134</f>
        <v>-17624000</v>
      </c>
      <c r="D30" s="32" t="n">
        <f aca="false">-D26*Calc_R!$C$134</f>
        <v>-61684000</v>
      </c>
      <c r="E30" s="32" t="n">
        <f aca="false">-E26*Calc_R!$C$134</f>
        <v>-132180000</v>
      </c>
      <c r="F30" s="32" t="n">
        <f aca="false">-F26*Calc_R!$C$134</f>
        <v>-220300000</v>
      </c>
      <c r="G30" s="32" t="n">
        <f aca="false">-G26*Calc_R!$C$134</f>
        <v>-220300000</v>
      </c>
      <c r="H30" s="32" t="n">
        <f aca="false">-H26*Calc_R!$C$134</f>
        <v>-220300000</v>
      </c>
    </row>
    <row r="31" customFormat="false" ht="15" hidden="false" customHeight="false" outlineLevel="0" collapsed="false">
      <c r="A31" s="0" t="s">
        <v>440</v>
      </c>
      <c r="B31" s="32" t="n">
        <f aca="false">B$26*Calc_R!D$119</f>
        <v>0</v>
      </c>
      <c r="C31" s="32" t="n">
        <f aca="false">B$26*Calc_R!E$119+C$26*Calc_R!D$119</f>
        <v>-216527.966748685</v>
      </c>
      <c r="D31" s="32" t="n">
        <f aca="false">B$26*Calc_R!F$119+C$26*Calc_R!E$119+D$26*Calc_R!D$119</f>
        <v>-672113.497607626</v>
      </c>
      <c r="E31" s="32" t="n">
        <f aca="false">B$26*Calc_R!G$119+C$26*Calc_R!F$119+D$26*Calc_R!E$119+E$26*Calc_R!D$119</f>
        <v>-2248606.45922284</v>
      </c>
      <c r="F31" s="32" t="n">
        <f aca="false">B$26*Calc_R!H$119+C$26*Calc_R!G$119+D$26*Calc_R!F$119+E$26*Calc_R!E$119+F$26*Calc_R!D$119</f>
        <v>-5699413.52161352</v>
      </c>
      <c r="G31" s="32" t="n">
        <f aca="false">B$26*Calc_R!I$119+C$26*Calc_R!H$119+D$26*Calc_R!G$119+E$26*Calc_R!F$119+F$26*Calc_R!E$119+G$26*Calc_R!D$119</f>
        <v>-11599384.0412347</v>
      </c>
      <c r="H31" s="32" t="n">
        <f aca="false">B$26*Calc_R!J$119+C$26*Calc_R!I$119+D$26*Calc_R!H$119+E$26*Calc_R!G$119+F$26*Calc_R!F$119+G$26*Calc_R!E$119+H$26*Calc_R!D$119</f>
        <v>-17941297.0041753</v>
      </c>
    </row>
    <row r="32" customFormat="false" ht="15" hidden="false" customHeight="false" outlineLevel="0" collapsed="false">
      <c r="A32" s="0" t="s">
        <v>441</v>
      </c>
      <c r="B32" s="32" t="n">
        <f aca="false">(B26-IF(1=1,1,0))*Inputs!$D$54</f>
        <v>0</v>
      </c>
      <c r="C32" s="32" t="n">
        <f aca="false">(C26-IF(2=1,1,0))*Inputs!$D$54</f>
        <v>500000</v>
      </c>
      <c r="D32" s="32" t="n">
        <f aca="false">(D26-IF(3=1,1,0))*Inputs!$D$54</f>
        <v>1750000</v>
      </c>
      <c r="E32" s="32" t="n">
        <f aca="false">(E26-IF(4=1,1,0))*Inputs!$D$54</f>
        <v>3750000</v>
      </c>
      <c r="F32" s="32" t="n">
        <f aca="false">(F26-IF(5=1,1,0))*Inputs!$D$54</f>
        <v>6250000</v>
      </c>
      <c r="G32" s="32" t="n">
        <f aca="false">(G26-IF(6=1,1,0))*Inputs!$D$54</f>
        <v>6250000</v>
      </c>
      <c r="H32" s="32" t="n">
        <f aca="false">(H26-IF(7=1,1,0))*Inputs!$D$54</f>
        <v>6250000</v>
      </c>
    </row>
    <row r="33" customFormat="false" ht="15" hidden="false" customHeight="false" outlineLevel="0" collapsed="false">
      <c r="A33" s="0" t="s">
        <v>442</v>
      </c>
      <c r="B33" s="32" t="n">
        <f aca="false">B29+B30+B31+B32</f>
        <v>-6122851.48730936</v>
      </c>
      <c r="C33" s="32" t="n">
        <f aca="false">C29+C30+C31+C32</f>
        <v>-6085106.1212724</v>
      </c>
      <c r="D33" s="32" t="n">
        <f aca="false">D29+D30+D31+D32</f>
        <v>-22658054.0753182</v>
      </c>
      <c r="E33" s="32" t="n">
        <f aca="false">E29+E30+E31+E32</f>
        <v>-25843162.8853701</v>
      </c>
      <c r="F33" s="32" t="n">
        <f aca="false">F29+F30+F31+F32</f>
        <v>14341850.9692097</v>
      </c>
      <c r="G33" s="32" t="n">
        <f aca="false">G29+G30+G31+G32</f>
        <v>190248582.737589</v>
      </c>
      <c r="H33" s="32" t="n">
        <f aca="false">H29+H30+H31+H32</f>
        <v>399405880.246169</v>
      </c>
    </row>
    <row r="34" customFormat="false" ht="15" hidden="false" customHeight="false" outlineLevel="0" collapsed="false">
      <c r="A34" s="9" t="s">
        <v>443</v>
      </c>
      <c r="B34" s="34" t="n">
        <f aca="false">SUM($B$33:B$33)</f>
        <v>-6122851.48730936</v>
      </c>
      <c r="C34" s="34" t="n">
        <f aca="false">SUM($B$33:C$33)</f>
        <v>-12207957.6085818</v>
      </c>
      <c r="D34" s="34" t="n">
        <f aca="false">SUM($B$33:D$33)</f>
        <v>-34866011.6839</v>
      </c>
      <c r="E34" s="34" t="n">
        <f aca="false">SUM($B$33:E$33)</f>
        <v>-60709174.56927</v>
      </c>
      <c r="F34" s="34" t="n">
        <f aca="false">SUM($B$33:F$33)</f>
        <v>-46367323.6000603</v>
      </c>
      <c r="G34" s="34" t="n">
        <f aca="false">SUM($B$33:G$33)</f>
        <v>143881259.137528</v>
      </c>
      <c r="H34" s="34" t="n">
        <f aca="false">SUM($B$33:H$33)</f>
        <v>543287139.383698</v>
      </c>
    </row>
    <row r="35" customFormat="false" ht="15" hidden="false" customHeight="false" outlineLevel="0" collapsed="false">
      <c r="A35" s="0" t="s">
        <v>444</v>
      </c>
      <c r="B35" s="32" t="n">
        <f aca="false">MAX(0,B29)*Inputs!$D$9</f>
        <v>18824039.5888345</v>
      </c>
      <c r="C35" s="32" t="n">
        <f aca="false">MAX(0,C29)*Inputs!$D$9</f>
        <v>78787952.918334</v>
      </c>
      <c r="D35" s="32" t="n">
        <f aca="false">MAX(0,D29)*Inputs!$D$9</f>
        <v>265636415.956026</v>
      </c>
      <c r="E35" s="32" t="n">
        <f aca="false">MAX(0,E29)*Inputs!$D$9</f>
        <v>733848105.016969</v>
      </c>
      <c r="F35" s="32" t="n">
        <f aca="false">MAX(0,F29)*Inputs!$D$9</f>
        <v>1638638851.43576</v>
      </c>
      <c r="G35" s="32" t="n">
        <f aca="false">MAX(0,G29)*Inputs!$D$9</f>
        <v>2911285767.45176</v>
      </c>
      <c r="H35" s="32" t="n">
        <f aca="false">MAX(0,H29)*Inputs!$D$9</f>
        <v>4419780240.75241</v>
      </c>
    </row>
    <row r="36" customFormat="false" ht="15" hidden="false" customHeight="false" outlineLevel="0" collapsed="false">
      <c r="A36" s="0" t="s">
        <v>445</v>
      </c>
      <c r="B36" s="32" t="n">
        <f aca="false">MAX(0,B27*Calc_R!$H$110)*Inputs!$D$9</f>
        <v>69157791.5467678</v>
      </c>
      <c r="C36" s="32" t="n">
        <f aca="false">MAX(0,C27*Calc_R!$H$110)*Inputs!$D$9</f>
        <v>207473374.640303</v>
      </c>
      <c r="D36" s="32" t="n">
        <f aca="false">MAX(0,D27*Calc_R!$H$110)*Inputs!$D$9</f>
        <v>691577915.467678</v>
      </c>
      <c r="E36" s="32" t="n">
        <f aca="false">MAX(0,E27*Calc_R!$H$110)*Inputs!$D$9</f>
        <v>1728944788.66919</v>
      </c>
      <c r="F36" s="32" t="n">
        <f aca="false">MAX(0,F27*Calc_R!$H$110)*Inputs!$D$9</f>
        <v>3457889577.33839</v>
      </c>
      <c r="G36" s="32" t="n">
        <f aca="false">MAX(0,G27*Calc_R!$H$110)*Inputs!$D$9</f>
        <v>5186834366.00758</v>
      </c>
      <c r="H36" s="32" t="n">
        <f aca="false">MAX(0,H27*Calc_R!$H$110)*Inputs!$D$9</f>
        <v>6915779154.67678</v>
      </c>
    </row>
    <row r="37" customFormat="false" ht="15" hidden="false" customHeight="false" outlineLevel="0" collapsed="false">
      <c r="A37" s="0" t="s">
        <v>446</v>
      </c>
      <c r="B37" s="33" t="n">
        <f aca="false">IF(B35&gt;=1000000000,1,0)</f>
        <v>0</v>
      </c>
      <c r="C37" s="33" t="n">
        <f aca="false">IF(C35&gt;=1000000000,1,0)</f>
        <v>0</v>
      </c>
      <c r="D37" s="33" t="n">
        <f aca="false">IF(D35&gt;=1000000000,1,0)</f>
        <v>0</v>
      </c>
      <c r="E37" s="33" t="n">
        <f aca="false">IF(E35&gt;=1000000000,1,0)</f>
        <v>0</v>
      </c>
      <c r="F37" s="33" t="n">
        <f aca="false">IF(F35&gt;=1000000000,1,0)</f>
        <v>1</v>
      </c>
      <c r="G37" s="33" t="n">
        <f aca="false">IF(G35&gt;=1000000000,1,0)</f>
        <v>1</v>
      </c>
      <c r="H37" s="33" t="n">
        <f aca="false">IF(H35&gt;=1000000000,1,0)</f>
        <v>1</v>
      </c>
    </row>
    <row r="38" customFormat="false" ht="15" hidden="false" customHeight="false" outlineLevel="0" collapsed="false">
      <c r="A38" s="0" t="s">
        <v>447</v>
      </c>
      <c r="B38" s="33" t="n">
        <f aca="false">IF(B35&gt;=10000000000,1,0)</f>
        <v>0</v>
      </c>
      <c r="C38" s="33" t="n">
        <f aca="false">IF(C35&gt;=10000000000,1,0)</f>
        <v>0</v>
      </c>
      <c r="D38" s="33" t="n">
        <f aca="false">IF(D35&gt;=10000000000,1,0)</f>
        <v>0</v>
      </c>
      <c r="E38" s="33" t="n">
        <f aca="false">IF(E35&gt;=10000000000,1,0)</f>
        <v>0</v>
      </c>
      <c r="F38" s="33" t="n">
        <f aca="false">IF(F35&gt;=10000000000,1,0)</f>
        <v>0</v>
      </c>
      <c r="G38" s="33" t="n">
        <f aca="false">IF(G35&gt;=10000000000,1,0)</f>
        <v>0</v>
      </c>
      <c r="H38" s="33" t="n">
        <f aca="false">IF(H35&gt;=10000000000,1,0)</f>
        <v>0</v>
      </c>
    </row>
    <row r="39" customFormat="false" ht="15" hidden="false" customHeight="false" outlineLevel="0" collapsed="false">
      <c r="A39" s="0" t="s">
        <v>448</v>
      </c>
      <c r="B39" s="34" t="n">
        <f aca="false">SUM(B32:H32)</f>
        <v>24750000</v>
      </c>
    </row>
    <row r="40" customFormat="false" ht="15" hidden="false" customHeight="false" outlineLevel="0" collapsed="false">
      <c r="A40" s="0" t="s">
        <v>449</v>
      </c>
      <c r="B40" s="34" t="n">
        <f aca="false">-MIN(0,MIN(B34:H34))</f>
        <v>60709174.56927</v>
      </c>
    </row>
    <row r="41" customFormat="false" ht="15" hidden="false" customHeight="false" outlineLevel="0" collapsed="false">
      <c r="A41" s="0" t="s">
        <v>450</v>
      </c>
      <c r="B41" s="37" t="n">
        <f aca="false">IF(Calc_R!H110&gt;0,ROUNDUP(1000000000/(Calc_R!H110*Inputs!$D$9),0),"n/a")</f>
        <v>15</v>
      </c>
    </row>
    <row r="42" customFormat="false" ht="15" hidden="false" customHeight="false" outlineLevel="0" collapsed="false">
      <c r="A42" s="0" t="s">
        <v>451</v>
      </c>
      <c r="B42" s="37" t="n">
        <f aca="false">IF(Calc_R!H110&gt;0,ROUNDUP(10000000000/(Calc_R!H110*Inputs!$D$9),0),"n/a")</f>
        <v>145</v>
      </c>
    </row>
    <row r="43" customFormat="false" ht="15" hidden="false" customHeight="false" outlineLevel="0" collapsed="false">
      <c r="A43" s="0" t="s">
        <v>452</v>
      </c>
      <c r="B43" s="37" t="n">
        <f aca="false">IFERROR(MATCH(1,B37:H37,0),"not by Y7")</f>
        <v>5</v>
      </c>
    </row>
    <row r="44" customFormat="false" ht="15" hidden="false" customHeight="false" outlineLevel="0" collapsed="false">
      <c r="A44" s="0" t="s">
        <v>453</v>
      </c>
      <c r="B44" s="37" t="str">
        <f aca="false">IFERROR(MATCH(1,B38:H38,0),"not by Y7")</f>
        <v>not by Y7</v>
      </c>
    </row>
    <row r="46" customFormat="false" ht="15" hidden="false" customHeight="false" outlineLevel="0" collapsed="false">
      <c r="A46" s="6" t="s">
        <v>455</v>
      </c>
      <c r="B46" s="7"/>
      <c r="C46" s="7"/>
      <c r="D46" s="7"/>
      <c r="E46" s="7"/>
      <c r="F46" s="7"/>
      <c r="G46" s="7"/>
      <c r="H46" s="7"/>
    </row>
    <row r="47" customFormat="false" ht="15" hidden="false" customHeight="false" outlineLevel="0" collapsed="false">
      <c r="A47" s="0" t="s">
        <v>435</v>
      </c>
      <c r="B47" s="33" t="n">
        <f aca="false">Inputs!$E$112</f>
        <v>1</v>
      </c>
      <c r="C47" s="33" t="n">
        <f aca="false">Inputs!$E$113</f>
        <v>3</v>
      </c>
      <c r="D47" s="33" t="n">
        <f aca="false">Inputs!$E$114</f>
        <v>11</v>
      </c>
      <c r="E47" s="33" t="n">
        <f aca="false">Inputs!$E$115</f>
        <v>25</v>
      </c>
      <c r="F47" s="33" t="n">
        <f aca="false">Inputs!$E$116</f>
        <v>60</v>
      </c>
      <c r="G47" s="33" t="n">
        <f aca="false">Inputs!$E$117</f>
        <v>60</v>
      </c>
      <c r="H47" s="33" t="n">
        <f aca="false">Inputs!$E$118</f>
        <v>60</v>
      </c>
    </row>
    <row r="48" customFormat="false" ht="15" hidden="false" customHeight="false" outlineLevel="0" collapsed="false">
      <c r="A48" s="9" t="s">
        <v>436</v>
      </c>
      <c r="B48" s="37" t="n">
        <f aca="false">SUM($B$47:B$47)</f>
        <v>1</v>
      </c>
      <c r="C48" s="37" t="n">
        <f aca="false">SUM($B$47:C$47)</f>
        <v>4</v>
      </c>
      <c r="D48" s="37" t="n">
        <f aca="false">SUM($B$47:D$47)</f>
        <v>15</v>
      </c>
      <c r="E48" s="37" t="n">
        <f aca="false">SUM($B$47:E$47)</f>
        <v>40</v>
      </c>
      <c r="F48" s="37" t="n">
        <f aca="false">SUM($B$47:F$47)</f>
        <v>100</v>
      </c>
      <c r="G48" s="37" t="n">
        <f aca="false">SUM($B$47:G$47)</f>
        <v>160</v>
      </c>
      <c r="H48" s="37" t="n">
        <f aca="false">SUM($B$47:H$47)</f>
        <v>220</v>
      </c>
    </row>
    <row r="49" customFormat="false" ht="15" hidden="false" customHeight="false" outlineLevel="0" collapsed="false">
      <c r="A49" s="0" t="s">
        <v>437</v>
      </c>
      <c r="B49" s="32" t="n">
        <f aca="false">B$47*Calc_O!D$106</f>
        <v>19927665.5349091</v>
      </c>
      <c r="C49" s="32" t="n">
        <f aca="false">B$47*Calc_O!E$106+C$47*Calc_O!D$106</f>
        <v>85388661.0064519</v>
      </c>
      <c r="D49" s="32" t="n">
        <f aca="false">B$47*Calc_O!F$106+C$47*Calc_O!E$106+D$47*Calc_O!D$106</f>
        <v>325835655.176389</v>
      </c>
      <c r="E49" s="32" t="n">
        <f aca="false">B$47*Calc_O!G$106+C$47*Calc_O!F$106+D$47*Calc_O!E$106+E$47*Calc_O!D$106</f>
        <v>903579977.218357</v>
      </c>
      <c r="F49" s="32" t="n">
        <f aca="false">B$47*Calc_O!H$106+C$47*Calc_O!G$106+D$47*Calc_O!F$106+E$47*Calc_O!E$106+F$47*Calc_O!D$106</f>
        <v>2305926317.16034</v>
      </c>
      <c r="G49" s="32" t="n">
        <f aca="false">B$47*Calc_O!I$106+C$47*Calc_O!H$106+D$47*Calc_O!G$106+E$47*Calc_O!F$106+F$47*Calc_O!E$106+G$47*Calc_O!D$106</f>
        <v>4013253250.85648</v>
      </c>
      <c r="H49" s="32" t="n">
        <f aca="false">B$47*Calc_O!J$106+C$47*Calc_O!I$106+D$47*Calc_O!H$106+E$47*Calc_O!G$106+F$47*Calc_O!F$106+G$47*Calc_O!E$106+H$47*Calc_O!D$106</f>
        <v>5973895532.83574</v>
      </c>
    </row>
    <row r="50" customFormat="false" ht="15" hidden="false" customHeight="false" outlineLevel="0" collapsed="false">
      <c r="A50" s="9" t="s">
        <v>438</v>
      </c>
      <c r="B50" s="34" t="n">
        <f aca="false">B$47*Calc_O!D$110</f>
        <v>10072750.0286771</v>
      </c>
      <c r="C50" s="34" t="n">
        <f aca="false">B$47*Calc_O!E$110+C$47*Calc_O!D$110</f>
        <v>44595897.6112966</v>
      </c>
      <c r="D50" s="34" t="n">
        <f aca="false">B$47*Calc_O!F$110+C$47*Calc_O!E$110+D$47*Calc_O!D$110</f>
        <v>171368569.318469</v>
      </c>
      <c r="E50" s="34" t="n">
        <f aca="false">B$47*Calc_O!G$110+C$47*Calc_O!F$110+D$47*Calc_O!E$110+E$47*Calc_O!D$110</f>
        <v>482966991.113611</v>
      </c>
      <c r="F50" s="34" t="n">
        <f aca="false">B$47*Calc_O!H$110+C$47*Calc_O!G$110+D$47*Calc_O!F$110+E$47*Calc_O!E$110+F$47*Calc_O!D$110</f>
        <v>1242100479.37079</v>
      </c>
      <c r="G50" s="34" t="n">
        <f aca="false">B$47*Calc_O!I$110+C$47*Calc_O!H$110+D$47*Calc_O!G$110+E$47*Calc_O!F$110+F$47*Calc_O!E$110+G$47*Calc_O!D$110</f>
        <v>2229082182.3301</v>
      </c>
      <c r="H50" s="34" t="n">
        <f aca="false">B$47*Calc_O!J$110+C$47*Calc_O!I$110+D$47*Calc_O!H$110+E$47*Calc_O!G$110+F$47*Calc_O!F$110+G$47*Calc_O!E$110+H$47*Calc_O!D$110</f>
        <v>3400412852.34829</v>
      </c>
    </row>
    <row r="51" customFormat="false" ht="15" hidden="false" customHeight="false" outlineLevel="0" collapsed="false">
      <c r="A51" s="0" t="s">
        <v>439</v>
      </c>
      <c r="B51" s="32" t="n">
        <f aca="false">-B47*Calc_O!$C$134</f>
        <v>-6450000</v>
      </c>
      <c r="C51" s="32" t="n">
        <f aca="false">-C47*Calc_O!$C$134</f>
        <v>-19350000</v>
      </c>
      <c r="D51" s="32" t="n">
        <f aca="false">-D47*Calc_O!$C$134</f>
        <v>-70950000</v>
      </c>
      <c r="E51" s="32" t="n">
        <f aca="false">-E47*Calc_O!$C$134</f>
        <v>-161250000</v>
      </c>
      <c r="F51" s="32" t="n">
        <f aca="false">-F47*Calc_O!$C$134</f>
        <v>-387000000</v>
      </c>
      <c r="G51" s="32" t="n">
        <f aca="false">-G47*Calc_O!$C$134</f>
        <v>-387000000</v>
      </c>
      <c r="H51" s="32" t="n">
        <f aca="false">-H47*Calc_O!$C$134</f>
        <v>-387000000</v>
      </c>
    </row>
    <row r="52" customFormat="false" ht="15" hidden="false" customHeight="false" outlineLevel="0" collapsed="false">
      <c r="A52" s="0" t="s">
        <v>440</v>
      </c>
      <c r="B52" s="32" t="n">
        <f aca="false">B$47*Calc_O!D$119</f>
        <v>0</v>
      </c>
      <c r="C52" s="32" t="n">
        <f aca="false">B$47*Calc_O!E$119+C$47*Calc_O!D$119</f>
        <v>-336302.14330072</v>
      </c>
      <c r="D52" s="32" t="n">
        <f aca="false">B$47*Calc_O!F$119+C$47*Calc_O!E$119+D$47*Calc_O!D$119</f>
        <v>-1385361.61820254</v>
      </c>
      <c r="E52" s="32" t="n">
        <f aca="false">B$47*Calc_O!G$119+C$47*Calc_O!F$119+D$47*Calc_O!E$119+E$47*Calc_O!D$119</f>
        <v>-5246348.8181605</v>
      </c>
      <c r="F52" s="32" t="n">
        <f aca="false">B$47*Calc_O!H$119+C$47*Calc_O!G$119+D$47*Calc_O!F$119+E$47*Calc_O!E$119+F$47*Calc_O!D$119</f>
        <v>-14264003.947495</v>
      </c>
      <c r="G52" s="32" t="n">
        <f aca="false">B$47*Calc_O!I$119+C$47*Calc_O!H$119+D$47*Calc_O!G$119+E$47*Calc_O!F$119+F$47*Calc_O!E$119+G$47*Calc_O!D$119</f>
        <v>-36063734.4196362</v>
      </c>
      <c r="H52" s="32" t="n">
        <f aca="false">B$47*Calc_O!J$119+C$47*Calc_O!I$119+D$47*Calc_O!H$119+E$47*Calc_O!G$119+F$47*Calc_O!F$119+G$47*Calc_O!E$119+H$47*Calc_O!D$119</f>
        <v>-60267360.2114244</v>
      </c>
    </row>
    <row r="53" customFormat="false" ht="15" hidden="false" customHeight="false" outlineLevel="0" collapsed="false">
      <c r="A53" s="0" t="s">
        <v>441</v>
      </c>
      <c r="B53" s="32" t="n">
        <f aca="false">(B47-IF(1=1,1,0))*Inputs!$E$54</f>
        <v>0</v>
      </c>
      <c r="C53" s="32" t="n">
        <f aca="false">(C47-IF(2=1,1,0))*Inputs!$E$54</f>
        <v>1500000</v>
      </c>
      <c r="D53" s="32" t="n">
        <f aca="false">(D47-IF(3=1,1,0))*Inputs!$E$54</f>
        <v>5500000</v>
      </c>
      <c r="E53" s="32" t="n">
        <f aca="false">(E47-IF(4=1,1,0))*Inputs!$E$54</f>
        <v>12500000</v>
      </c>
      <c r="F53" s="32" t="n">
        <f aca="false">(F47-IF(5=1,1,0))*Inputs!$E$54</f>
        <v>30000000</v>
      </c>
      <c r="G53" s="32" t="n">
        <f aca="false">(G47-IF(6=1,1,0))*Inputs!$E$54</f>
        <v>30000000</v>
      </c>
      <c r="H53" s="32" t="n">
        <f aca="false">(H47-IF(7=1,1,0))*Inputs!$E$54</f>
        <v>30000000</v>
      </c>
    </row>
    <row r="54" customFormat="false" ht="15" hidden="false" customHeight="false" outlineLevel="0" collapsed="false">
      <c r="A54" s="0" t="s">
        <v>442</v>
      </c>
      <c r="B54" s="32" t="n">
        <f aca="false">B50+B51+B52+B53</f>
        <v>3622750.02867707</v>
      </c>
      <c r="C54" s="32" t="n">
        <f aca="false">C50+C51+C52+C53</f>
        <v>26409595.4679959</v>
      </c>
      <c r="D54" s="32" t="n">
        <f aca="false">D50+D51+D52+D53</f>
        <v>104533207.700266</v>
      </c>
      <c r="E54" s="32" t="n">
        <f aca="false">E50+E51+E52+E53</f>
        <v>328970642.295451</v>
      </c>
      <c r="F54" s="32" t="n">
        <f aca="false">F50+F51+F52+F53</f>
        <v>870836475.423292</v>
      </c>
      <c r="G54" s="32" t="n">
        <f aca="false">G50+G51+G52+G53</f>
        <v>1836018447.91047</v>
      </c>
      <c r="H54" s="32" t="n">
        <f aca="false">H50+H51+H52+H53</f>
        <v>2983145492.13687</v>
      </c>
    </row>
    <row r="55" customFormat="false" ht="15" hidden="false" customHeight="false" outlineLevel="0" collapsed="false">
      <c r="A55" s="9" t="s">
        <v>443</v>
      </c>
      <c r="B55" s="34" t="n">
        <f aca="false">SUM($B$54:B$54)</f>
        <v>3622750.02867707</v>
      </c>
      <c r="C55" s="34" t="n">
        <f aca="false">SUM($B$54:C$54)</f>
        <v>30032345.496673</v>
      </c>
      <c r="D55" s="34" t="n">
        <f aca="false">SUM($B$54:D$54)</f>
        <v>134565553.196939</v>
      </c>
      <c r="E55" s="34" t="n">
        <f aca="false">SUM($B$54:E$54)</f>
        <v>463536195.49239</v>
      </c>
      <c r="F55" s="34" t="n">
        <f aca="false">SUM($B$54:F$54)</f>
        <v>1334372670.91568</v>
      </c>
      <c r="G55" s="34" t="n">
        <f aca="false">SUM($B$54:G$54)</f>
        <v>3170391118.82615</v>
      </c>
      <c r="H55" s="34" t="n">
        <f aca="false">SUM($B$54:H$54)</f>
        <v>6153536610.96302</v>
      </c>
    </row>
    <row r="56" customFormat="false" ht="15" hidden="false" customHeight="false" outlineLevel="0" collapsed="false">
      <c r="A56" s="0" t="s">
        <v>444</v>
      </c>
      <c r="B56" s="32" t="n">
        <f aca="false">MAX(0,B50)*Inputs!$E$9</f>
        <v>70509250.2007395</v>
      </c>
      <c r="C56" s="32" t="n">
        <f aca="false">MAX(0,C50)*Inputs!$E$9</f>
        <v>312171283.279076</v>
      </c>
      <c r="D56" s="32" t="n">
        <f aca="false">MAX(0,D50)*Inputs!$E$9</f>
        <v>1199579985.22928</v>
      </c>
      <c r="E56" s="32" t="n">
        <f aca="false">MAX(0,E50)*Inputs!$E$9</f>
        <v>3380768937.79528</v>
      </c>
      <c r="F56" s="32" t="n">
        <f aca="false">MAX(0,F50)*Inputs!$E$9</f>
        <v>8694703355.59551</v>
      </c>
      <c r="G56" s="32" t="n">
        <f aca="false">MAX(0,G50)*Inputs!$E$9</f>
        <v>15603575276.3107</v>
      </c>
      <c r="H56" s="32" t="n">
        <f aca="false">MAX(0,H50)*Inputs!$E$9</f>
        <v>23802889966.438</v>
      </c>
    </row>
    <row r="57" customFormat="false" ht="15" hidden="false" customHeight="false" outlineLevel="0" collapsed="false">
      <c r="A57" s="0" t="s">
        <v>445</v>
      </c>
      <c r="B57" s="32" t="n">
        <f aca="false">MAX(0,B48*Calc_O!$H$110)*Inputs!$E$9</f>
        <v>171088286.654483</v>
      </c>
      <c r="C57" s="32" t="n">
        <f aca="false">MAX(0,C48*Calc_O!$H$110)*Inputs!$E$9</f>
        <v>684353146.617933</v>
      </c>
      <c r="D57" s="32" t="n">
        <f aca="false">MAX(0,D48*Calc_O!$H$110)*Inputs!$E$9</f>
        <v>2566324299.81725</v>
      </c>
      <c r="E57" s="32" t="n">
        <f aca="false">MAX(0,E48*Calc_O!$H$110)*Inputs!$E$9</f>
        <v>6843531466.17933</v>
      </c>
      <c r="F57" s="32" t="n">
        <f aca="false">MAX(0,F48*Calc_O!$H$110)*Inputs!$E$9</f>
        <v>17108828665.4483</v>
      </c>
      <c r="G57" s="32" t="n">
        <f aca="false">MAX(0,G48*Calc_O!$H$110)*Inputs!$E$9</f>
        <v>27374125864.7173</v>
      </c>
      <c r="H57" s="32" t="n">
        <f aca="false">MAX(0,H48*Calc_O!$H$110)*Inputs!$E$9</f>
        <v>37639423063.9863</v>
      </c>
    </row>
    <row r="58" customFormat="false" ht="15" hidden="false" customHeight="false" outlineLevel="0" collapsed="false">
      <c r="A58" s="0" t="s">
        <v>446</v>
      </c>
      <c r="B58" s="33" t="n">
        <f aca="false">IF(B56&gt;=1000000000,1,0)</f>
        <v>0</v>
      </c>
      <c r="C58" s="33" t="n">
        <f aca="false">IF(C56&gt;=1000000000,1,0)</f>
        <v>0</v>
      </c>
      <c r="D58" s="33" t="n">
        <f aca="false">IF(D56&gt;=1000000000,1,0)</f>
        <v>1</v>
      </c>
      <c r="E58" s="33" t="n">
        <f aca="false">IF(E56&gt;=1000000000,1,0)</f>
        <v>1</v>
      </c>
      <c r="F58" s="33" t="n">
        <f aca="false">IF(F56&gt;=1000000000,1,0)</f>
        <v>1</v>
      </c>
      <c r="G58" s="33" t="n">
        <f aca="false">IF(G56&gt;=1000000000,1,0)</f>
        <v>1</v>
      </c>
      <c r="H58" s="33" t="n">
        <f aca="false">IF(H56&gt;=1000000000,1,0)</f>
        <v>1</v>
      </c>
    </row>
    <row r="59" customFormat="false" ht="15" hidden="false" customHeight="false" outlineLevel="0" collapsed="false">
      <c r="A59" s="0" t="s">
        <v>447</v>
      </c>
      <c r="B59" s="33" t="n">
        <f aca="false">IF(B56&gt;=10000000000,1,0)</f>
        <v>0</v>
      </c>
      <c r="C59" s="33" t="n">
        <f aca="false">IF(C56&gt;=10000000000,1,0)</f>
        <v>0</v>
      </c>
      <c r="D59" s="33" t="n">
        <f aca="false">IF(D56&gt;=10000000000,1,0)</f>
        <v>0</v>
      </c>
      <c r="E59" s="33" t="n">
        <f aca="false">IF(E56&gt;=10000000000,1,0)</f>
        <v>0</v>
      </c>
      <c r="F59" s="33" t="n">
        <f aca="false">IF(F56&gt;=10000000000,1,0)</f>
        <v>0</v>
      </c>
      <c r="G59" s="33" t="n">
        <f aca="false">IF(G56&gt;=10000000000,1,0)</f>
        <v>1</v>
      </c>
      <c r="H59" s="33" t="n">
        <f aca="false">IF(H56&gt;=10000000000,1,0)</f>
        <v>1</v>
      </c>
    </row>
    <row r="60" customFormat="false" ht="15" hidden="false" customHeight="false" outlineLevel="0" collapsed="false">
      <c r="A60" s="0" t="s">
        <v>448</v>
      </c>
      <c r="B60" s="34" t="n">
        <f aca="false">SUM(B53:H53)</f>
        <v>109500000</v>
      </c>
    </row>
    <row r="61" customFormat="false" ht="15" hidden="false" customHeight="false" outlineLevel="0" collapsed="false">
      <c r="A61" s="0" t="s">
        <v>449</v>
      </c>
      <c r="B61" s="34" t="n">
        <f aca="false">-MIN(0,MIN(B55:H55))</f>
        <v>-0</v>
      </c>
    </row>
    <row r="62" customFormat="false" ht="15" hidden="false" customHeight="false" outlineLevel="0" collapsed="false">
      <c r="A62" s="0" t="s">
        <v>450</v>
      </c>
      <c r="B62" s="37" t="n">
        <f aca="false">IF(Calc_O!H110&gt;0,ROUNDUP(1000000000/(Calc_O!H110*Inputs!$E$9),0),"n/a")</f>
        <v>6</v>
      </c>
    </row>
    <row r="63" customFormat="false" ht="15" hidden="false" customHeight="false" outlineLevel="0" collapsed="false">
      <c r="A63" s="0" t="s">
        <v>451</v>
      </c>
      <c r="B63" s="37" t="n">
        <f aca="false">IF(Calc_O!H110&gt;0,ROUNDUP(10000000000/(Calc_O!H110*Inputs!$E$9),0),"n/a")</f>
        <v>59</v>
      </c>
    </row>
    <row r="64" customFormat="false" ht="15" hidden="false" customHeight="false" outlineLevel="0" collapsed="false">
      <c r="A64" s="0" t="s">
        <v>452</v>
      </c>
      <c r="B64" s="37" t="n">
        <f aca="false">IFERROR(MATCH(1,B58:H58,0),"not by Y7")</f>
        <v>3</v>
      </c>
    </row>
    <row r="65" customFormat="false" ht="15" hidden="false" customHeight="false" outlineLevel="0" collapsed="false">
      <c r="A65" s="0" t="s">
        <v>453</v>
      </c>
      <c r="B65" s="37" t="n">
        <f aca="false">IFERROR(MATCH(1,B59:H59,0),"not by Y7")</f>
        <v>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70"/>
  </cols>
  <sheetData>
    <row r="1" customFormat="false" ht="17.35" hidden="false" customHeight="false" outlineLevel="0" collapsed="false">
      <c r="A1" s="4" t="s">
        <v>456</v>
      </c>
    </row>
    <row r="3" customFormat="false" ht="15" hidden="false" customHeight="false" outlineLevel="0" collapsed="false">
      <c r="A3" s="5" t="s">
        <v>457</v>
      </c>
      <c r="B3" s="5" t="s">
        <v>458</v>
      </c>
    </row>
    <row r="4" customFormat="false" ht="15" hidden="false" customHeight="false" outlineLevel="0" collapsed="false">
      <c r="A4" s="0" t="s">
        <v>163</v>
      </c>
      <c r="B4" s="0" t="s">
        <v>164</v>
      </c>
    </row>
    <row r="5" customFormat="false" ht="15" hidden="false" customHeight="false" outlineLevel="0" collapsed="false">
      <c r="A5" s="0" t="s">
        <v>167</v>
      </c>
      <c r="B5" s="0" t="s">
        <v>168</v>
      </c>
    </row>
    <row r="6" customFormat="false" ht="15" hidden="false" customHeight="false" outlineLevel="0" collapsed="false">
      <c r="A6" s="0" t="s">
        <v>179</v>
      </c>
      <c r="B6" s="0" t="s">
        <v>180</v>
      </c>
    </row>
    <row r="7" customFormat="false" ht="15" hidden="false" customHeight="false" outlineLevel="0" collapsed="false">
      <c r="A7" s="0" t="s">
        <v>185</v>
      </c>
      <c r="B7" s="0" t="s">
        <v>186</v>
      </c>
    </row>
    <row r="8" customFormat="false" ht="15" hidden="false" customHeight="false" outlineLevel="0" collapsed="false">
      <c r="A8" s="0" t="s">
        <v>187</v>
      </c>
      <c r="B8" s="0" t="s">
        <v>186</v>
      </c>
    </row>
    <row r="9" customFormat="false" ht="15" hidden="false" customHeight="false" outlineLevel="0" collapsed="false">
      <c r="A9" s="0" t="s">
        <v>188</v>
      </c>
      <c r="B9" s="0" t="s">
        <v>190</v>
      </c>
    </row>
    <row r="10" customFormat="false" ht="15" hidden="false" customHeight="false" outlineLevel="0" collapsed="false">
      <c r="A10" s="0" t="s">
        <v>200</v>
      </c>
      <c r="B10" s="0" t="s">
        <v>202</v>
      </c>
    </row>
    <row r="11" customFormat="false" ht="15" hidden="false" customHeight="false" outlineLevel="0" collapsed="false">
      <c r="A11" s="0" t="s">
        <v>203</v>
      </c>
      <c r="B11" s="0" t="s">
        <v>168</v>
      </c>
    </row>
    <row r="12" customFormat="false" ht="15" hidden="false" customHeight="false" outlineLevel="0" collapsed="false">
      <c r="A12" s="0" t="s">
        <v>204</v>
      </c>
      <c r="B12" s="0" t="s">
        <v>186</v>
      </c>
    </row>
    <row r="13" customFormat="false" ht="15" hidden="false" customHeight="false" outlineLevel="0" collapsed="false">
      <c r="A13" s="0" t="s">
        <v>209</v>
      </c>
      <c r="B13" s="0" t="s">
        <v>210</v>
      </c>
    </row>
    <row r="14" customFormat="false" ht="15" hidden="false" customHeight="false" outlineLevel="0" collapsed="false">
      <c r="A14" s="0" t="s">
        <v>224</v>
      </c>
      <c r="B14" s="0" t="s">
        <v>225</v>
      </c>
    </row>
    <row r="15" customFormat="false" ht="15" hidden="false" customHeight="false" outlineLevel="0" collapsed="false">
      <c r="A15" s="0" t="s">
        <v>226</v>
      </c>
      <c r="B15" s="0" t="s">
        <v>147</v>
      </c>
    </row>
    <row r="16" customFormat="false" ht="15" hidden="false" customHeight="false" outlineLevel="0" collapsed="false">
      <c r="A16" s="0" t="s">
        <v>229</v>
      </c>
      <c r="B16" s="0" t="s">
        <v>231</v>
      </c>
    </row>
    <row r="17" customFormat="false" ht="15" hidden="false" customHeight="false" outlineLevel="0" collapsed="false">
      <c r="A17" s="0" t="s">
        <v>232</v>
      </c>
      <c r="B17" s="0" t="s">
        <v>234</v>
      </c>
    </row>
    <row r="18" customFormat="false" ht="15" hidden="false" customHeight="false" outlineLevel="0" collapsed="false">
      <c r="A18" s="0" t="s">
        <v>235</v>
      </c>
      <c r="B18" s="0" t="s">
        <v>236</v>
      </c>
    </row>
    <row r="19" customFormat="false" ht="15" hidden="false" customHeight="false" outlineLevel="0" collapsed="false">
      <c r="A19" s="0" t="s">
        <v>237</v>
      </c>
      <c r="B19" s="0" t="s">
        <v>239</v>
      </c>
    </row>
    <row r="20" customFormat="false" ht="15" hidden="false" customHeight="false" outlineLevel="0" collapsed="false">
      <c r="A20" s="0" t="s">
        <v>240</v>
      </c>
      <c r="B20" s="0" t="s">
        <v>241</v>
      </c>
    </row>
    <row r="21" customFormat="false" ht="15" hidden="false" customHeight="false" outlineLevel="0" collapsed="false">
      <c r="A21" s="0" t="s">
        <v>242</v>
      </c>
      <c r="B21" s="0" t="s">
        <v>243</v>
      </c>
    </row>
    <row r="22" customFormat="false" ht="15" hidden="false" customHeight="false" outlineLevel="0" collapsed="false">
      <c r="A22" s="0" t="s">
        <v>244</v>
      </c>
      <c r="B22" s="0" t="s">
        <v>245</v>
      </c>
    </row>
    <row r="23" customFormat="false" ht="15" hidden="false" customHeight="false" outlineLevel="0" collapsed="false">
      <c r="A23" s="0" t="s">
        <v>246</v>
      </c>
      <c r="B23" s="0" t="s">
        <v>186</v>
      </c>
    </row>
    <row r="24" customFormat="false" ht="15" hidden="false" customHeight="false" outlineLevel="0" collapsed="false">
      <c r="A24" s="0" t="s">
        <v>247</v>
      </c>
      <c r="B24" s="0" t="s">
        <v>186</v>
      </c>
    </row>
    <row r="25" customFormat="false" ht="15" hidden="false" customHeight="false" outlineLevel="0" collapsed="false">
      <c r="A25" s="0" t="s">
        <v>250</v>
      </c>
      <c r="B25" s="0" t="s">
        <v>252</v>
      </c>
    </row>
    <row r="26" customFormat="false" ht="15" hidden="false" customHeight="false" outlineLevel="0" collapsed="false">
      <c r="A26" s="0" t="s">
        <v>253</v>
      </c>
      <c r="B26" s="0" t="s">
        <v>254</v>
      </c>
    </row>
    <row r="27" customFormat="false" ht="15" hidden="false" customHeight="false" outlineLevel="0" collapsed="false">
      <c r="A27" s="0" t="s">
        <v>79</v>
      </c>
      <c r="B27" s="0" t="s">
        <v>256</v>
      </c>
    </row>
    <row r="28" customFormat="false" ht="15" hidden="false" customHeight="false" outlineLevel="0" collapsed="false">
      <c r="A28" s="0" t="s">
        <v>268</v>
      </c>
      <c r="B28" s="0" t="s">
        <v>269</v>
      </c>
    </row>
    <row r="29" customFormat="false" ht="15" hidden="false" customHeight="false" outlineLevel="0" collapsed="false">
      <c r="A29" s="0" t="s">
        <v>270</v>
      </c>
      <c r="B29" s="0" t="s">
        <v>186</v>
      </c>
    </row>
    <row r="30" customFormat="false" ht="15" hidden="false" customHeight="false" outlineLevel="0" collapsed="false">
      <c r="A30" s="0" t="s">
        <v>271</v>
      </c>
      <c r="B30" s="0" t="s">
        <v>168</v>
      </c>
    </row>
    <row r="31" customFormat="false" ht="15" hidden="false" customHeight="false" outlineLevel="0" collapsed="false">
      <c r="A31" s="0" t="s">
        <v>272</v>
      </c>
      <c r="B31" s="0" t="s">
        <v>168</v>
      </c>
    </row>
    <row r="32" customFormat="false" ht="15" hidden="false" customHeight="false" outlineLevel="0" collapsed="false">
      <c r="A32" s="0" t="s">
        <v>273</v>
      </c>
      <c r="B32" s="0" t="s">
        <v>168</v>
      </c>
    </row>
    <row r="33" customFormat="false" ht="15" hidden="false" customHeight="false" outlineLevel="0" collapsed="false">
      <c r="A33" s="0" t="s">
        <v>274</v>
      </c>
      <c r="B33" s="0" t="s">
        <v>168</v>
      </c>
    </row>
    <row r="34" customFormat="false" ht="15" hidden="false" customHeight="false" outlineLevel="0" collapsed="false">
      <c r="A34" s="0" t="s">
        <v>275</v>
      </c>
      <c r="B34" s="0" t="s">
        <v>168</v>
      </c>
    </row>
    <row r="35" customFormat="false" ht="15" hidden="false" customHeight="false" outlineLevel="0" collapsed="false">
      <c r="A35" s="0" t="s">
        <v>284</v>
      </c>
      <c r="B35" s="0" t="s">
        <v>285</v>
      </c>
    </row>
    <row r="36" customFormat="false" ht="15" hidden="false" customHeight="false" outlineLevel="0" collapsed="false">
      <c r="A36" s="0" t="s">
        <v>287</v>
      </c>
      <c r="B36" s="0" t="s">
        <v>186</v>
      </c>
    </row>
    <row r="37" customFormat="false" ht="15" hidden="false" customHeight="false" outlineLevel="0" collapsed="false">
      <c r="A37" s="0" t="s">
        <v>288</v>
      </c>
      <c r="B37" s="0" t="s">
        <v>186</v>
      </c>
    </row>
    <row r="38" customFormat="false" ht="15" hidden="false" customHeight="false" outlineLevel="0" collapsed="false">
      <c r="A38" s="0" t="s">
        <v>292</v>
      </c>
      <c r="B38" s="0" t="s">
        <v>168</v>
      </c>
    </row>
    <row r="39" customFormat="false" ht="15" hidden="false" customHeight="false" outlineLevel="0" collapsed="false">
      <c r="A39" s="0" t="s">
        <v>294</v>
      </c>
      <c r="B39" s="0" t="s">
        <v>168</v>
      </c>
    </row>
    <row r="40" customFormat="false" ht="15" hidden="false" customHeight="false" outlineLevel="0" collapsed="false">
      <c r="A40" s="0" t="s">
        <v>299</v>
      </c>
      <c r="B40" s="0" t="s">
        <v>300</v>
      </c>
    </row>
    <row r="41" customFormat="false" ht="15" hidden="false" customHeight="false" outlineLevel="0" collapsed="false">
      <c r="A41" s="0" t="s">
        <v>301</v>
      </c>
      <c r="B41" s="0" t="s">
        <v>302</v>
      </c>
    </row>
    <row r="42" customFormat="false" ht="15" hidden="false" customHeight="false" outlineLevel="0" collapsed="false">
      <c r="A42" s="0" t="s">
        <v>459</v>
      </c>
      <c r="B42" s="0" t="s">
        <v>460</v>
      </c>
    </row>
    <row r="43" customFormat="false" ht="15" hidden="false" customHeight="false" outlineLevel="0" collapsed="false">
      <c r="A43" s="0" t="s">
        <v>461</v>
      </c>
      <c r="B43" s="0" t="s">
        <v>462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2026-09-10T18:45:09Z</dcterms:created>
  <dc:creator>openpyxl</dc:creator>
  <dc:description/>
  <dc:language>en-US</dc:language>
  <cp:lastModifiedBy/>
  <dcterms:modified xsi:type="dcterms:W3CDTF">2026-09-10T18:45:09Z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